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5 FA ja Aruandlus\5-14 Inventeerimine\KUM\KUM\2023\23 M000 RETA\"/>
    </mc:Choice>
  </mc:AlternateContent>
  <xr:revisionPtr revIDLastSave="0" documentId="13_ncr:1_{D7974B1E-6002-4D2A-BF5D-3C8B221A57BF}" xr6:coauthVersionLast="47" xr6:coauthVersionMax="47" xr10:uidLastSave="{00000000-0000-0000-0000-000000000000}"/>
  <bookViews>
    <workbookView xWindow="28680" yWindow="-120" windowWidth="29040" windowHeight="15840" xr2:uid="{874D4697-CD57-43C2-A9A4-0E65BEAE72C4}"/>
  </bookViews>
  <sheets>
    <sheet name="RETA" sheetId="1" r:id="rId1"/>
    <sheet name="lisa1 Lõpliku ea kujunemine" sheetId="2" r:id="rId2"/>
    <sheet name="lisa2 RE ja TA võrdlu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 l="1"/>
  <c r="C17" i="3"/>
  <c r="C13" i="3"/>
  <c r="C10" i="3"/>
  <c r="C7" i="3"/>
  <c r="C6" i="3"/>
  <c r="E46" i="1" l="1"/>
  <c r="E88" i="1"/>
  <c r="E50" i="1" l="1"/>
  <c r="E49" i="1"/>
  <c r="E87" i="1"/>
  <c r="E59" i="1"/>
  <c r="E41" i="1"/>
  <c r="E39" i="1"/>
  <c r="E37" i="1"/>
  <c r="E35" i="1"/>
  <c r="E33" i="1"/>
  <c r="E31" i="1"/>
  <c r="E29" i="1"/>
  <c r="E63" i="1"/>
  <c r="E51" i="1"/>
  <c r="E52" i="1"/>
  <c r="E45" i="1" l="1"/>
  <c r="D88" i="1"/>
  <c r="G88" i="1" s="1"/>
  <c r="D87" i="1"/>
  <c r="D46" i="1"/>
  <c r="D45" i="1"/>
  <c r="D60" i="1"/>
  <c r="D51" i="1"/>
  <c r="D23" i="1"/>
  <c r="D24" i="1"/>
  <c r="E70" i="1"/>
  <c r="C18" i="3" s="1"/>
  <c r="D70" i="1"/>
  <c r="E32" i="1"/>
  <c r="D31" i="1"/>
  <c r="D64" i="1"/>
  <c r="D56" i="1" l="1"/>
  <c r="D32" i="1"/>
  <c r="E75" i="1"/>
  <c r="E10" i="1" l="1"/>
  <c r="C9" i="3" s="1"/>
  <c r="D63" i="1"/>
  <c r="D67" i="1"/>
  <c r="D68" i="1"/>
  <c r="D71" i="1"/>
  <c r="D69" i="1"/>
  <c r="D59" i="1" l="1"/>
  <c r="D57" i="1"/>
  <c r="D55" i="1"/>
  <c r="D53" i="1"/>
  <c r="D54" i="1"/>
  <c r="D52" i="1"/>
  <c r="D50" i="1"/>
  <c r="D49" i="1"/>
  <c r="D43" i="1"/>
  <c r="D44" i="1"/>
  <c r="D42" i="1"/>
  <c r="D41" i="1"/>
  <c r="D39" i="1"/>
  <c r="D40" i="1"/>
  <c r="D38" i="1"/>
  <c r="D37" i="1"/>
  <c r="D35" i="1"/>
  <c r="D36" i="1"/>
  <c r="D34" i="1"/>
  <c r="D33" i="1"/>
  <c r="D30" i="1"/>
  <c r="D29" i="1"/>
  <c r="D65" i="1" l="1"/>
  <c r="D66" i="1"/>
  <c r="D62" i="1" s="1"/>
  <c r="D19" i="1"/>
  <c r="D20" i="1"/>
  <c r="E9" i="1"/>
  <c r="C8" i="3" s="1"/>
  <c r="D61" i="1" l="1"/>
  <c r="H11" i="3"/>
  <c r="H17" i="3"/>
  <c r="D6" i="3"/>
  <c r="D7" i="3"/>
  <c r="D8" i="3"/>
  <c r="D9" i="3"/>
  <c r="D10" i="3"/>
  <c r="D12" i="3"/>
  <c r="D15" i="3"/>
  <c r="D16" i="3"/>
  <c r="D17" i="3"/>
  <c r="D18" i="3"/>
  <c r="D19" i="3"/>
  <c r="D20" i="3"/>
  <c r="H6" i="3"/>
  <c r="E4" i="3"/>
  <c r="G4" i="3"/>
  <c r="H20" i="3"/>
  <c r="H19" i="3"/>
  <c r="F18" i="3"/>
  <c r="H16" i="3"/>
  <c r="H15" i="3"/>
  <c r="F14" i="3"/>
  <c r="F4" i="3" s="1"/>
  <c r="B14" i="3"/>
  <c r="F13" i="3"/>
  <c r="B13" i="3"/>
  <c r="H12" i="3"/>
  <c r="B11" i="3"/>
  <c r="H9" i="3"/>
  <c r="H8" i="3"/>
  <c r="H7" i="3"/>
  <c r="C17" i="2"/>
  <c r="F75" i="1"/>
  <c r="B4" i="3" l="1"/>
  <c r="D13" i="3"/>
  <c r="H18" i="3"/>
  <c r="H14" i="3"/>
  <c r="H13" i="3"/>
  <c r="H4" i="3" l="1"/>
  <c r="G90" i="1"/>
  <c r="G89" i="1"/>
  <c r="G87" i="1"/>
  <c r="F73" i="1"/>
  <c r="E73" i="1"/>
  <c r="G72" i="1"/>
  <c r="G71" i="1"/>
  <c r="F70" i="1"/>
  <c r="G69" i="1"/>
  <c r="G68" i="1"/>
  <c r="G67" i="1"/>
  <c r="G66" i="1"/>
  <c r="G65" i="1"/>
  <c r="F62" i="1"/>
  <c r="E62" i="1"/>
  <c r="C62" i="1"/>
  <c r="F61" i="1"/>
  <c r="E61" i="1"/>
  <c r="C61" i="1"/>
  <c r="F60" i="1"/>
  <c r="G60" i="1"/>
  <c r="F59" i="1"/>
  <c r="G59" i="1"/>
  <c r="D58" i="1"/>
  <c r="G58" i="1" s="1"/>
  <c r="G57" i="1"/>
  <c r="G56" i="1"/>
  <c r="G55" i="1"/>
  <c r="G54" i="1"/>
  <c r="G53" i="1"/>
  <c r="F52" i="1"/>
  <c r="G52" i="1"/>
  <c r="F51" i="1"/>
  <c r="G51" i="1"/>
  <c r="F50" i="1"/>
  <c r="G50" i="1"/>
  <c r="F49" i="1"/>
  <c r="G49" i="1"/>
  <c r="D48" i="1"/>
  <c r="G48" i="1" s="1"/>
  <c r="D47" i="1"/>
  <c r="G47" i="1" s="1"/>
  <c r="F46" i="1"/>
  <c r="G46" i="1"/>
  <c r="F45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E28" i="1"/>
  <c r="C28" i="1"/>
  <c r="E27" i="1"/>
  <c r="C27" i="1"/>
  <c r="G24" i="1"/>
  <c r="G23" i="1"/>
  <c r="D22" i="1"/>
  <c r="D21" i="1"/>
  <c r="F20" i="1"/>
  <c r="F18" i="1" s="1"/>
  <c r="G20" i="1"/>
  <c r="F19" i="1"/>
  <c r="F17" i="1" s="1"/>
  <c r="E18" i="1"/>
  <c r="C18" i="1"/>
  <c r="E17" i="1"/>
  <c r="C17" i="1"/>
  <c r="E16" i="1"/>
  <c r="C16" i="1"/>
  <c r="E15" i="1"/>
  <c r="C15" i="1"/>
  <c r="D12" i="1"/>
  <c r="G12" i="1" s="1"/>
  <c r="F11" i="1"/>
  <c r="E11" i="1"/>
  <c r="C11" i="3" s="1"/>
  <c r="D11" i="1"/>
  <c r="F10" i="1"/>
  <c r="D10" i="1"/>
  <c r="F9" i="1"/>
  <c r="D9" i="1"/>
  <c r="D8" i="1"/>
  <c r="G8" i="1" s="1"/>
  <c r="C7" i="1"/>
  <c r="D11" i="3" l="1"/>
  <c r="C26" i="1"/>
  <c r="B35" i="2"/>
  <c r="B6" i="2"/>
  <c r="B34" i="2" s="1"/>
  <c r="B36" i="2" s="1"/>
  <c r="E25" i="1"/>
  <c r="E13" i="1" s="1"/>
  <c r="C14" i="3" s="1"/>
  <c r="D14" i="3" s="1"/>
  <c r="D18" i="1"/>
  <c r="D16" i="1"/>
  <c r="G21" i="1"/>
  <c r="D15" i="1"/>
  <c r="D17" i="1"/>
  <c r="E26" i="1"/>
  <c r="E14" i="1" s="1"/>
  <c r="F15" i="1"/>
  <c r="G9" i="1"/>
  <c r="G10" i="1"/>
  <c r="D27" i="1"/>
  <c r="D25" i="1" s="1"/>
  <c r="C14" i="1"/>
  <c r="G11" i="1"/>
  <c r="F28" i="1"/>
  <c r="F26" i="1" s="1"/>
  <c r="F16" i="1"/>
  <c r="C25" i="1"/>
  <c r="C13" i="1" s="1"/>
  <c r="D7" i="1"/>
  <c r="D28" i="1"/>
  <c r="D26" i="1" s="1"/>
  <c r="D14" i="1" s="1"/>
  <c r="F7" i="1"/>
  <c r="G70" i="1"/>
  <c r="F27" i="1"/>
  <c r="F25" i="1" s="1"/>
  <c r="G28" i="1"/>
  <c r="G22" i="1"/>
  <c r="G16" i="1" s="1"/>
  <c r="G63" i="1"/>
  <c r="G61" i="1" s="1"/>
  <c r="E7" i="1"/>
  <c r="G29" i="1"/>
  <c r="G27" i="1" s="1"/>
  <c r="G64" i="1"/>
  <c r="G62" i="1" s="1"/>
  <c r="G19" i="1"/>
  <c r="F13" i="1" l="1"/>
  <c r="D4" i="3"/>
  <c r="F91" i="1"/>
  <c r="G7" i="1"/>
  <c r="C4" i="3"/>
  <c r="F14" i="1"/>
  <c r="D13" i="1"/>
  <c r="C6" i="2"/>
  <c r="C34" i="2" s="1"/>
  <c r="E91" i="1"/>
  <c r="E93" i="1" s="1"/>
  <c r="C35" i="2"/>
  <c r="G25" i="1"/>
  <c r="G17" i="1"/>
  <c r="G15" i="1"/>
  <c r="G26" i="1"/>
  <c r="G14" i="1" s="1"/>
  <c r="G18" i="1"/>
  <c r="C36" i="2" l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tc={3DE74C79-E3B3-44CF-B867-E5AB526EDFBF}</author>
    <author>tc={88266834-4B7B-4D03-A489-DAAA3C271D1A}</author>
    <author>tc={FA795251-EC67-49CE-B753-33D17E693717}</author>
    <author>tc={37B167D7-7412-4BD9-BC79-A9E62636D13B}</author>
    <author>tc={FAE8AAC5-2728-4E65-BC09-D484BD32F691}</author>
    <author>tc={79838947-03AF-4356-A0CE-6296049E4D07}</author>
    <author>tc={16EEEA81-1EBA-4915-B9C8-B0C703DF2A99}</author>
    <author>tc={73B53C2D-958B-4D7B-BC0B-CDF2544CCC86}</author>
    <author>tc={318237C5-63D6-4EB0-89DD-369686B89256}</author>
    <author>tc={64E2CFB3-D296-4D45-A952-721C90BC9CB2}</author>
    <author>tc={6458951C-F490-4DB3-A3FE-33A8F2A03093}</author>
    <author>tc={F479C6CE-5E0E-48EE-844D-D36D8B3F38EA}</author>
    <author>tc={4B6474CD-C8F9-4640-ADCA-6A31F1275CA6}</author>
    <author>tc={AAA1AC39-518C-46B2-B748-1E3B8724C170}</author>
    <author>tc={300977D4-3B2F-4975-8D94-D24D39DB2CA8}</author>
  </authors>
  <commentList>
    <comment ref="C19" authorId="0" shapeId="0" xr:uid="{3DE74C79-E3B3-44CF-B867-E5AB526EDFBF}">
      <text>
        <t>[Threaded comment]
Your version of Excel allows you to read this threaded comment; however, any edits to it will get removed if the file is opened in a newer version of Excel. Learn more: https://go.microsoft.com/fwlink/?linkid=870924
Comment:
    KAISis 9914072</t>
      </text>
    </comment>
    <comment ref="C20" authorId="1" shapeId="0" xr:uid="{88266834-4B7B-4D03-A489-DAAA3C271D1A}">
      <text>
        <t>[Threaded comment]
Your version of Excel allows you to read this threaded comment; however, any edits to it will get removed if the file is opened in a newer version of Excel. Learn more: https://go.microsoft.com/fwlink/?linkid=870924
Comment:
    KAISis 6148245</t>
      </text>
    </comment>
    <comment ref="C23" authorId="2" shapeId="0" xr:uid="{FA795251-EC67-49CE-B753-33D17E693717}">
      <text>
        <t>[Threaded comment]
Your version of Excel allows you to read this threaded comment; however, any edits to it will get removed if the file is opened in a newer version of Excel. Learn more: https://go.microsoft.com/fwlink/?linkid=870924
Comment:
    KAISis 147010</t>
      </text>
    </comment>
    <comment ref="D23" authorId="3" shapeId="0" xr:uid="{37B167D7-7412-4BD9-BC79-A9E62636D13B}">
      <text>
        <t>[Threaded comment]
Your version of Excel allows you to read this threaded comment; however, any edits to it will get removed if the file is opened in a newer version of Excel. Learn more: https://go.microsoft.com/fwlink/?linkid=870924
Comment:
    KAISis 147010</t>
      </text>
    </comment>
    <comment ref="C24" authorId="4" shapeId="0" xr:uid="{FAE8AAC5-2728-4E65-BC09-D484BD32F691}">
      <text>
        <t>[Threaded comment]
Your version of Excel allows you to read this threaded comment; however, any edits to it will get removed if the file is opened in a newer version of Excel. Learn more: https://go.microsoft.com/fwlink/?linkid=870924
Comment:
    KAISis 147010</t>
      </text>
    </comment>
    <comment ref="D24" authorId="5" shapeId="0" xr:uid="{79838947-03AF-4356-A0CE-6296049E4D07}">
      <text>
        <t>[Threaded comment]
Your version of Excel allows you to read this threaded comment; however, any edits to it will get removed if the file is opened in a newer version of Excel. Learn more: https://go.microsoft.com/fwlink/?linkid=870924
Comment:
    KAISis 147010</t>
      </text>
    </comment>
    <comment ref="C45" authorId="6" shapeId="0" xr:uid="{16EEEA81-1EBA-4915-B9C8-B0C703DF2A99}">
      <text>
        <t>[Threaded comment]
Your version of Excel allows you to read this threaded comment; however, any edits to it will get removed if the file is opened in a newer version of Excel. Learn more: https://go.microsoft.com/fwlink/?linkid=870924
Comment:
    KAISis 54538346</t>
      </text>
    </comment>
    <comment ref="C46" authorId="7" shapeId="0" xr:uid="{73B53C2D-958B-4D7B-BC0B-CDF2544CCC86}">
      <text>
        <t>[Threaded comment]
Your version of Excel allows you to read this threaded comment; however, any edits to it will get removed if the file is opened in a newer version of Excel. Learn more: https://go.microsoft.com/fwlink/?linkid=870924
Comment:
    KAISis 50661338</t>
      </text>
    </comment>
    <comment ref="C49" authorId="8" shapeId="0" xr:uid="{318237C5-63D6-4EB0-89DD-369686B89256}">
      <text>
        <t>[Threaded comment]
Your version of Excel allows you to read this threaded comment; however, any edits to it will get removed if the file is opened in a newer version of Excel. Learn more: https://go.microsoft.com/fwlink/?linkid=870924
Comment:
    KAISis 38395222</t>
      </text>
    </comment>
    <comment ref="C50" authorId="9" shapeId="0" xr:uid="{64E2CFB3-D296-4D45-A952-721C90BC9CB2}">
      <text>
        <t>[Threaded comment]
Your version of Excel allows you to read this threaded comment; however, any edits to it will get removed if the file is opened in a newer version of Excel. Learn more: https://go.microsoft.com/fwlink/?linkid=870924
Comment:
    KAISis 38395222</t>
      </text>
    </comment>
    <comment ref="C51" authorId="10" shapeId="0" xr:uid="{6458951C-F490-4DB3-A3FE-33A8F2A03093}">
      <text>
        <t>[Threaded comment]
Your version of Excel allows you to read this threaded comment; however, any edits to it will get removed if the file is opened in a newer version of Excel. Learn more: https://go.microsoft.com/fwlink/?linkid=870924
Comment:
    KAISis 14357772</t>
      </text>
    </comment>
    <comment ref="C63" authorId="11" shapeId="0" xr:uid="{F479C6CE-5E0E-48EE-844D-D36D8B3F38EA}">
      <text>
        <t>[Threaded comment]
Your version of Excel allows you to read this threaded comment; however, any edits to it will get removed if the file is opened in a newer version of Excel. Learn more: https://go.microsoft.com/fwlink/?linkid=870924
Comment:
    42257981 KAISis</t>
      </text>
    </comment>
    <comment ref="C64" authorId="12" shapeId="0" xr:uid="{4B6474CD-C8F9-4640-ADCA-6A31F1275CA6}">
      <text>
        <t>[Threaded comment]
Your version of Excel allows you to read this threaded comment; however, any edits to it will get removed if the file is opened in a newer version of Excel. Learn more: https://go.microsoft.com/fwlink/?linkid=870924
Comment:
    38371661 KAISis</t>
      </text>
    </comment>
    <comment ref="C67" authorId="13" shapeId="0" xr:uid="{AAA1AC39-518C-46B2-B748-1E3B8724C170}">
      <text>
        <t>[Threaded comment]
Your version of Excel allows you to read this threaded comment; however, any edits to it will get removed if the file is opened in a newer version of Excel. Learn more: https://go.microsoft.com/fwlink/?linkid=870924
Comment:
    17339110 KAISis</t>
      </text>
    </comment>
    <comment ref="C68" authorId="14" shapeId="0" xr:uid="{300977D4-3B2F-4975-8D94-D24D39DB2CA8}">
      <text>
        <t>[Threaded comment]
Your version of Excel allows you to read this threaded comment; however, any edits to it will get removed if the file is opened in a newer version of Excel. Learn more: https://go.microsoft.com/fwlink/?linkid=870924
Comment:
    17339110 KAISis</t>
      </text>
    </comment>
  </commentList>
</comments>
</file>

<file path=xl/sharedStrings.xml><?xml version="1.0" encoding="utf-8"?>
<sst xmlns="http://schemas.openxmlformats.org/spreadsheetml/2006/main" count="163" uniqueCount="120">
  <si>
    <t>KULTUURIMINISTEERIUMI valitsemisala</t>
  </si>
  <si>
    <t>TULUD</t>
  </si>
  <si>
    <t>Riigilõivud</t>
  </si>
  <si>
    <t>Tulu majandustegevusest</t>
  </si>
  <si>
    <t>Saadud toetused</t>
  </si>
  <si>
    <t>Muud tulud</t>
  </si>
  <si>
    <t>Intressi- ja omanikutulud</t>
  </si>
  <si>
    <t>KULUD</t>
  </si>
  <si>
    <t>sh piirmääraga vahendid</t>
  </si>
  <si>
    <t>Tulemusvaldkond: SIDUS ÜHISKOND</t>
  </si>
  <si>
    <t>Lõimumis-, sh kohanemispoliitika kujundamine ja rakendamine</t>
  </si>
  <si>
    <t>Lõimumis-, sh kohanemispoliitika rakendamine</t>
  </si>
  <si>
    <t>Rahvuskaaslaste toetamine</t>
  </si>
  <si>
    <t>Tulemusvaldkond: KULTUUR ja SPORT</t>
  </si>
  <si>
    <t>Kultuuriprogramm</t>
  </si>
  <si>
    <t>Loovisikute toetamine ja tunnustamine</t>
  </si>
  <si>
    <t>Kirjanduspoliitika kujundamine ja rakendamine</t>
  </si>
  <si>
    <t>Etenduskunstide poliitika kujundamine ja rakendamine</t>
  </si>
  <si>
    <t>Audiovisuaalpoliitika kujundamine ja rakendamine</t>
  </si>
  <si>
    <t>Muusikapoliitika kujundamine ja rakendamine</t>
  </si>
  <si>
    <t>Kunstipoliitika kujundamine ja rakendamine</t>
  </si>
  <si>
    <t>Meediapoliitika kujundamine ja rakendamine</t>
  </si>
  <si>
    <t>Muinsuskaitsepoliitika kujundamine ja rakendamine</t>
  </si>
  <si>
    <t>Raamatukogupoliitika kujundamine ja rakendamine</t>
  </si>
  <si>
    <t>Rahvakultuuripoliitika kujundamine ja rakendamine</t>
  </si>
  <si>
    <t>Kultuurivaldkonna rahvusvahelistumise edendamine</t>
  </si>
  <si>
    <t>Loomemajanduspoliitika kujundamine ja rakendamine</t>
  </si>
  <si>
    <t>Kultuuri valdkondadeülene tugi- ja arendustegevus</t>
  </si>
  <si>
    <t>Spordiprogramm</t>
  </si>
  <si>
    <t>Saavutusspordi toetamine ja arendamine</t>
  </si>
  <si>
    <t>Ausa spordi ja sporditurvalisuse toetamine ning arendamine</t>
  </si>
  <si>
    <t>Organiseeritud liikumisharrastuse edendamine</t>
  </si>
  <si>
    <t>Käibemaks</t>
  </si>
  <si>
    <t>INVESTEERINGUD</t>
  </si>
  <si>
    <t>sh käibemaks</t>
  </si>
  <si>
    <t>KORRIGEERIMISED</t>
  </si>
  <si>
    <t>Saadud maksutulu</t>
  </si>
  <si>
    <t>Edasiantud maksutulu, tekkepõhise ja kassapõhise kulu vahe</t>
  </si>
  <si>
    <t>Saadud mitterahaline sihtfinantseerimine</t>
  </si>
  <si>
    <t>Saadud välistoetused vahendamiseks riigiasutustele</t>
  </si>
  <si>
    <t>Teistelt valitsemisaladelt saadud välistoetuste kaasfinantseerimine</t>
  </si>
  <si>
    <t>Teistele valitsemisaladele antud välistoetused ja kaasfinantseerimine</t>
  </si>
  <si>
    <t>Mitterahaline vahetustehing, kasum põhivara müügist</t>
  </si>
  <si>
    <t>Mitterahaline vahetustehing, põhivara soetus</t>
  </si>
  <si>
    <t>Ebatõenäoliselt laekuvad arved, tulu taastamine</t>
  </si>
  <si>
    <t>Ebatõenäoliselt laekuvad arved, kulu taastamine</t>
  </si>
  <si>
    <t>Osaluste ümberhindlus</t>
  </si>
  <si>
    <t xml:space="preserve">JAOTAMATA </t>
  </si>
  <si>
    <t>SAP miinus jaotatud</t>
  </si>
  <si>
    <t>Kulud</t>
  </si>
  <si>
    <t>Investeeringud</t>
  </si>
  <si>
    <t>Kontroll</t>
  </si>
  <si>
    <t>saldoandmik</t>
  </si>
  <si>
    <t>eurodes</t>
  </si>
  <si>
    <t>Kultuuriministeeriumi valitsemisala 2023. aasta riigieelarve täitmise aruanne</t>
  </si>
  <si>
    <t>Algne eelarve</t>
  </si>
  <si>
    <t>Lõplik eelarve</t>
  </si>
  <si>
    <t>Täitmine 2023</t>
  </si>
  <si>
    <t>Täitmine 2022</t>
  </si>
  <si>
    <t>Täitmine miinus lõplik eelarve</t>
  </si>
  <si>
    <t>Lisa 1</t>
  </si>
  <si>
    <t>Lõpliku eelarve kujunemine</t>
  </si>
  <si>
    <t>Tulud</t>
  </si>
  <si>
    <t>Kulud, investeeringud ja käibemaksukulu</t>
  </si>
  <si>
    <t>Kulud, investeeringud</t>
  </si>
  <si>
    <t>Esialgne eelarve</t>
  </si>
  <si>
    <t>Üle toodud eelmisest aastast</t>
  </si>
  <si>
    <t>Muudatused riigieelarve seaduse muutmise seaduse alusel alates 01.07.2023</t>
  </si>
  <si>
    <t>Ümber jaotatatud 2022. aastast üle toodud piirmääraga vahendite jäägid alates 01.07.2023 (v.a reservid)</t>
  </si>
  <si>
    <t>Ümber jaotatatud tulust sõltuvate vahendite jäägid alates 01.07.2023</t>
  </si>
  <si>
    <t>Muudatused riigieelarve seaduse muutmise seaduse alusel detsembris 2023</t>
  </si>
  <si>
    <t>Muudatused Vabariigi Valitsuse korralduste alusel</t>
  </si>
  <si>
    <t>Sihtotstarbeliste vahendite reservist</t>
  </si>
  <si>
    <t>Sihtotstarbeliste vahendite reservi ümberjaotamine</t>
  </si>
  <si>
    <t>Eelarves kavandatud toetused</t>
  </si>
  <si>
    <t>Tegelikult saadud toetused ja avatud sildfinantseerimine</t>
  </si>
  <si>
    <t>Eelarves kavandatud välistoetuste kaasrahastamine</t>
  </si>
  <si>
    <t>Tegelik välistoetuste kaasrahastamine</t>
  </si>
  <si>
    <t>Eelarves kavandatud saastekvootide müügist</t>
  </si>
  <si>
    <t>Tegelikult saadud saastekvootide müügist</t>
  </si>
  <si>
    <t>Saastekvootide müügist saadud eelarve ümberjaotamine</t>
  </si>
  <si>
    <t>Eelarves kavandatud majandustegevusest laekuv tulu</t>
  </si>
  <si>
    <t>Tegelikult majandustegevusest saadud tulu</t>
  </si>
  <si>
    <t>Eelarves kavandatud muud tuludest sõltuvad kulud</t>
  </si>
  <si>
    <t>Tegelikud muud tuludest sõltuvad kulud</t>
  </si>
  <si>
    <t>Taastuvenergia statistiliste ühikute eelarve ümberjaotamine</t>
  </si>
  <si>
    <t>Eelarves kavandatud edasiantavad maksud</t>
  </si>
  <si>
    <t>Tegelikud edasiantavad maksud</t>
  </si>
  <si>
    <t xml:space="preserve">Saadud Vabariigi Valitsuse reservfondist </t>
  </si>
  <si>
    <t xml:space="preserve">Vabariigi Valitsuse reservfondi vahendite ümberjaotamine </t>
  </si>
  <si>
    <t>Antud Vabariigi valitsuse reservfondi</t>
  </si>
  <si>
    <t>Omandireformi reservfondi vahendite ümberjaotamine</t>
  </si>
  <si>
    <t>Saadud omandireformi reservfondist</t>
  </si>
  <si>
    <t>Kokku lõplik eelarve</t>
  </si>
  <si>
    <t>Lisa 2</t>
  </si>
  <si>
    <t>Eelarve täitmise ja raamatupidamisaruannete võrdlus</t>
  </si>
  <si>
    <t>Kirje</t>
  </si>
  <si>
    <t>RE aruanne 2022</t>
  </si>
  <si>
    <t>Vahe 2022</t>
  </si>
  <si>
    <t>Selgitus</t>
  </si>
  <si>
    <t>Maksud ja sotsiaalkindlustusmaksed</t>
  </si>
  <si>
    <t>Kasum/kahjum põhivara ja varude müügist</t>
  </si>
  <si>
    <t>3sisesed</t>
  </si>
  <si>
    <t>Finantstulud</t>
  </si>
  <si>
    <t>Tegevuskulud, v.a käibemaksukulu</t>
  </si>
  <si>
    <t>4,5,6sisesed</t>
  </si>
  <si>
    <t>Finantskulud</t>
  </si>
  <si>
    <t>Käibemaksukulu tegevuskuludelt</t>
  </si>
  <si>
    <t>15ettemaksed</t>
  </si>
  <si>
    <t>Käibemaksukulu investeeringutelt</t>
  </si>
  <si>
    <t>RE aruanne 2023</t>
  </si>
  <si>
    <t>Vahe 2023</t>
  </si>
  <si>
    <t>sisesed tehingud eelarve täitmise aruandes elimineerimata</t>
  </si>
  <si>
    <t>intressitulu muudelt nõuetelt re aruandes muude tulude real</t>
  </si>
  <si>
    <t>Raamatupidamis-andmed 2023</t>
  </si>
  <si>
    <t>Raamatupidamis-andmed 2022</t>
  </si>
  <si>
    <t>Sidus Eesti: lõimumine, sh kohanemine</t>
  </si>
  <si>
    <t>Kultuurivaldkonna digiteerimine</t>
  </si>
  <si>
    <t>Arhitektuuri- ja disainipoliitika kujundamine ning rakendamine</t>
  </si>
  <si>
    <t>Muuseumi- ja muinsuskaitsepoliitika kujundamine ning rakendamine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</si>
</sst>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rgb="FF0000FF"/>
      <name val="Times New Roman"/>
      <family val="1"/>
      <charset val="186"/>
    </font>
    <font>
      <b/>
      <sz val="12"/>
      <color theme="5" tint="-0.499984740745262"/>
      <name val="Times New Roman"/>
      <family val="1"/>
      <charset val="186"/>
    </font>
    <font>
      <sz val="12"/>
      <color theme="5" tint="-0.499984740745262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8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7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3" fontId="4" fillId="2" borderId="1" xfId="1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left"/>
    </xf>
    <xf numFmtId="3" fontId="10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3" fontId="7" fillId="2" borderId="1" xfId="1" applyNumberFormat="1" applyFont="1" applyFill="1" applyBorder="1" applyAlignment="1" applyProtection="1">
      <alignment horizontal="right"/>
      <protection locked="0"/>
    </xf>
    <xf numFmtId="0" fontId="4" fillId="2" borderId="1" xfId="1" applyFont="1" applyFill="1" applyBorder="1" applyAlignment="1" applyProtection="1">
      <alignment horizontal="left"/>
      <protection locked="0"/>
    </xf>
    <xf numFmtId="3" fontId="5" fillId="2" borderId="1" xfId="0" applyNumberFormat="1" applyFont="1" applyFill="1" applyBorder="1" applyAlignment="1">
      <alignment horizontal="right"/>
    </xf>
    <xf numFmtId="3" fontId="5" fillId="2" borderId="1" xfId="1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right"/>
    </xf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3" fontId="5" fillId="0" borderId="0" xfId="0" applyNumberFormat="1" applyFont="1"/>
    <xf numFmtId="3" fontId="4" fillId="0" borderId="1" xfId="1" applyNumberFormat="1" applyFont="1" applyFill="1" applyBorder="1" applyAlignment="1" applyProtection="1">
      <alignment horizontal="right"/>
      <protection locked="0"/>
    </xf>
    <xf numFmtId="0" fontId="7" fillId="0" borderId="0" xfId="0" applyFont="1"/>
    <xf numFmtId="0" fontId="14" fillId="0" borderId="0" xfId="0" applyFont="1"/>
    <xf numFmtId="0" fontId="15" fillId="0" borderId="0" xfId="0" applyFont="1"/>
    <xf numFmtId="3" fontId="16" fillId="0" borderId="0" xfId="0" applyNumberFormat="1" applyFont="1" applyAlignment="1">
      <alignment vertical="top"/>
    </xf>
    <xf numFmtId="4" fontId="15" fillId="3" borderId="1" xfId="0" applyNumberFormat="1" applyFont="1" applyFill="1" applyBorder="1" applyAlignment="1">
      <alignment horizontal="right" vertical="top" wrapText="1"/>
    </xf>
    <xf numFmtId="4" fontId="15" fillId="3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3" fontId="14" fillId="0" borderId="1" xfId="0" applyNumberFormat="1" applyFont="1" applyBorder="1"/>
    <xf numFmtId="3" fontId="14" fillId="0" borderId="1" xfId="0" applyNumberFormat="1" applyFont="1" applyBorder="1" applyAlignment="1">
      <alignment vertical="top"/>
    </xf>
    <xf numFmtId="3" fontId="15" fillId="0" borderId="1" xfId="0" applyNumberFormat="1" applyFont="1" applyBorder="1" applyAlignment="1">
      <alignment vertical="top"/>
    </xf>
    <xf numFmtId="3" fontId="14" fillId="0" borderId="0" xfId="0" applyNumberFormat="1" applyFont="1"/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wrapText="1"/>
    </xf>
    <xf numFmtId="4" fontId="13" fillId="0" borderId="0" xfId="0" applyNumberFormat="1" applyFont="1" applyAlignment="1">
      <alignment wrapText="1"/>
    </xf>
    <xf numFmtId="4" fontId="8" fillId="0" borderId="0" xfId="0" applyNumberFormat="1" applyFont="1"/>
    <xf numFmtId="3" fontId="0" fillId="0" borderId="0" xfId="0" applyNumberFormat="1"/>
    <xf numFmtId="0" fontId="0" fillId="0" borderId="1" xfId="0" applyBorder="1"/>
    <xf numFmtId="3" fontId="7" fillId="0" borderId="1" xfId="1" applyNumberFormat="1" applyFont="1" applyFill="1" applyBorder="1" applyAlignment="1" applyProtection="1">
      <alignment horizontal="right"/>
      <protection locked="0"/>
    </xf>
    <xf numFmtId="3" fontId="5" fillId="0" borderId="1" xfId="1" applyNumberFormat="1" applyFont="1" applyFill="1" applyBorder="1" applyAlignment="1" applyProtection="1">
      <alignment horizontal="right"/>
      <protection locked="0"/>
    </xf>
    <xf numFmtId="3" fontId="7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3" fillId="0" borderId="1" xfId="1" applyNumberFormat="1" applyFont="1" applyFill="1" applyBorder="1" applyAlignment="1" applyProtection="1">
      <alignment horizontal="right"/>
      <protection locked="0"/>
    </xf>
    <xf numFmtId="0" fontId="0" fillId="0" borderId="0" xfId="0" quotePrefix="1"/>
    <xf numFmtId="0" fontId="0" fillId="0" borderId="0" xfId="0" applyAlignment="1">
      <alignment horizontal="center"/>
    </xf>
    <xf numFmtId="3" fontId="3" fillId="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 wrapText="1"/>
    </xf>
    <xf numFmtId="3" fontId="2" fillId="0" borderId="0" xfId="0" applyNumberFormat="1" applyFont="1"/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3" borderId="1" xfId="0" applyFill="1" applyBorder="1" applyAlignment="1">
      <alignment vertical="top"/>
    </xf>
    <xf numFmtId="3" fontId="3" fillId="3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3" fillId="0" borderId="1" xfId="1" applyFont="1" applyFill="1" applyBorder="1" applyAlignment="1" applyProtection="1">
      <alignment horizontal="left"/>
      <protection locked="0"/>
    </xf>
    <xf numFmtId="0" fontId="5" fillId="0" borderId="1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left"/>
      <protection locked="0"/>
    </xf>
    <xf numFmtId="3" fontId="3" fillId="0" borderId="1" xfId="0" applyNumberFormat="1" applyFont="1" applyFill="1" applyBorder="1"/>
    <xf numFmtId="3" fontId="4" fillId="0" borderId="1" xfId="0" applyNumberFormat="1" applyFont="1" applyFill="1" applyBorder="1"/>
    <xf numFmtId="0" fontId="4" fillId="0" borderId="1" xfId="0" applyFont="1" applyFill="1" applyBorder="1"/>
    <xf numFmtId="0" fontId="5" fillId="0" borderId="1" xfId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3" fillId="0" borderId="1" xfId="0" applyFont="1" applyFill="1" applyBorder="1"/>
    <xf numFmtId="0" fontId="4" fillId="0" borderId="1" xfId="0" applyFont="1" applyFill="1" applyBorder="1" applyAlignment="1" applyProtection="1">
      <alignment horizontal="left" vertical="top" indent="3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center"/>
    </xf>
    <xf numFmtId="0" fontId="4" fillId="0" borderId="1" xfId="2" applyFont="1" applyFill="1" applyBorder="1" applyAlignment="1" applyProtection="1">
      <alignment horizontal="left"/>
      <protection locked="0"/>
    </xf>
    <xf numFmtId="0" fontId="14" fillId="0" borderId="1" xfId="0" applyFont="1" applyFill="1" applyBorder="1" applyAlignment="1">
      <alignment vertical="top"/>
    </xf>
    <xf numFmtId="0" fontId="14" fillId="0" borderId="1" xfId="0" applyFont="1" applyFill="1" applyBorder="1"/>
    <xf numFmtId="3" fontId="16" fillId="0" borderId="0" xfId="0" applyNumberFormat="1" applyFont="1"/>
    <xf numFmtId="3" fontId="20" fillId="0" borderId="0" xfId="0" applyNumberFormat="1" applyFont="1"/>
    <xf numFmtId="0" fontId="15" fillId="3" borderId="1" xfId="0" applyFont="1" applyFill="1" applyBorder="1" applyAlignment="1">
      <alignment vertical="top"/>
    </xf>
    <xf numFmtId="3" fontId="14" fillId="0" borderId="1" xfId="1" applyNumberFormat="1" applyFont="1" applyFill="1" applyBorder="1" applyAlignment="1" applyProtection="1">
      <alignment horizontal="right"/>
      <protection locked="0"/>
    </xf>
    <xf numFmtId="4" fontId="15" fillId="3" borderId="1" xfId="0" applyNumberFormat="1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/>
    </xf>
    <xf numFmtId="3" fontId="14" fillId="0" borderId="1" xfId="0" applyNumberFormat="1" applyFont="1" applyBorder="1"/>
    <xf numFmtId="0" fontId="19" fillId="0" borderId="0" xfId="0" applyFont="1"/>
    <xf numFmtId="4" fontId="19" fillId="0" borderId="0" xfId="0" applyNumberFormat="1" applyFont="1" applyAlignment="1">
      <alignment wrapText="1"/>
    </xf>
    <xf numFmtId="3" fontId="7" fillId="0" borderId="1" xfId="0" applyNumberFormat="1" applyFont="1" applyFill="1" applyBorder="1"/>
    <xf numFmtId="0" fontId="5" fillId="0" borderId="1" xfId="0" applyFont="1" applyFill="1" applyBorder="1" applyAlignment="1" applyProtection="1">
      <alignment vertical="top"/>
      <protection locked="0"/>
    </xf>
  </cellXfs>
  <cellStyles count="5">
    <cellStyle name="Comma 2" xfId="4" xr:uid="{CB61D34A-5DE1-4A39-A1A4-F71115A6C95C}"/>
    <cellStyle name="Normal" xfId="0" builtinId="0"/>
    <cellStyle name="Normal 10 2" xfId="2" xr:uid="{8E7BD290-0AE4-4E48-953F-2F7E39F4E458}"/>
    <cellStyle name="Normal 2" xfId="3" xr:uid="{66186269-CE85-4979-86EB-9285DC8A24A4}"/>
    <cellStyle name="Normal 25 9" xfId="1" xr:uid="{3C753E62-F83A-4B0D-BC77-92DEC6297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iret Mägi" id="{6F3A73F6-BC4C-4379-957C-9B6FC401E084}" userId="S::piret.magi@rtk.ee::95657013-6677-45ac-88e3-4e42935a75b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4-04-10T11:11:25.30" personId="{6F3A73F6-BC4C-4379-957C-9B6FC401E084}" id="{3DE74C79-E3B3-44CF-B867-E5AB526EDFBF}">
    <text>KAISis 9914072</text>
  </threadedComment>
  <threadedComment ref="C20" dT="2024-04-10T11:12:26.59" personId="{6F3A73F6-BC4C-4379-957C-9B6FC401E084}" id="{88266834-4B7B-4D03-A489-DAAA3C271D1A}">
    <text>KAISis 6148245</text>
  </threadedComment>
  <threadedComment ref="C23" dT="2024-04-10T11:13:36.79" personId="{6F3A73F6-BC4C-4379-957C-9B6FC401E084}" id="{FA795251-EC67-49CE-B753-33D17E693717}">
    <text>KAISis 147010</text>
  </threadedComment>
  <threadedComment ref="D23" dT="2024-04-10T11:15:24.25" personId="{6F3A73F6-BC4C-4379-957C-9B6FC401E084}" id="{37B167D7-7412-4BD9-BC79-A9E62636D13B}">
    <text>KAISis 147010</text>
  </threadedComment>
  <threadedComment ref="C24" dT="2024-04-10T11:13:48.81" personId="{6F3A73F6-BC4C-4379-957C-9B6FC401E084}" id="{FAE8AAC5-2728-4E65-BC09-D484BD32F691}">
    <text>KAISis 147010</text>
  </threadedComment>
  <threadedComment ref="D24" dT="2024-04-10T11:14:22.69" personId="{6F3A73F6-BC4C-4379-957C-9B6FC401E084}" id="{79838947-03AF-4356-A0CE-6296049E4D07}">
    <text>KAISis 147010</text>
  </threadedComment>
  <threadedComment ref="C45" dT="2024-04-11T05:55:54.88" personId="{6F3A73F6-BC4C-4379-957C-9B6FC401E084}" id="{16EEEA81-1EBA-4915-B9C8-B0C703DF2A99}">
    <text>KAISis 54538346</text>
  </threadedComment>
  <threadedComment ref="C46" dT="2024-04-11T05:57:31.25" personId="{6F3A73F6-BC4C-4379-957C-9B6FC401E084}" id="{73B53C2D-958B-4D7B-BC0B-CDF2544CCC86}">
    <text>KAISis 50661338</text>
  </threadedComment>
  <threadedComment ref="C49" dT="2024-04-11T05:50:45.84" personId="{6F3A73F6-BC4C-4379-957C-9B6FC401E084}" id="{318237C5-63D6-4EB0-89DD-369686B89256}">
    <text>KAISis 38395222</text>
  </threadedComment>
  <threadedComment ref="C50" dT="2024-04-11T05:51:00.67" personId="{6F3A73F6-BC4C-4379-957C-9B6FC401E084}" id="{64E2CFB3-D296-4D45-A952-721C90BC9CB2}">
    <text>KAISis 38395222</text>
  </threadedComment>
  <threadedComment ref="C51" dT="2024-04-11T05:54:23.63" personId="{6F3A73F6-BC4C-4379-957C-9B6FC401E084}" id="{6458951C-F490-4DB3-A3FE-33A8F2A03093}">
    <text>KAISis 14357772</text>
  </threadedComment>
  <threadedComment ref="C63" dT="2024-04-19T12:36:08.83" personId="{6F3A73F6-BC4C-4379-957C-9B6FC401E084}" id="{F479C6CE-5E0E-48EE-844D-D36D8B3F38EA}">
    <text>42257981 KAISis</text>
  </threadedComment>
  <threadedComment ref="C64" dT="2024-04-19T12:36:59.67" personId="{6F3A73F6-BC4C-4379-957C-9B6FC401E084}" id="{4B6474CD-C8F9-4640-ADCA-6A31F1275CA6}">
    <text>38371661 KAISis</text>
  </threadedComment>
  <threadedComment ref="C67" dT="2024-04-19T12:37:31.28" personId="{6F3A73F6-BC4C-4379-957C-9B6FC401E084}" id="{AAA1AC39-518C-46B2-B748-1E3B8724C170}">
    <text>17339110 KAISis</text>
  </threadedComment>
  <threadedComment ref="C68" dT="2024-04-19T12:37:45.38" personId="{6F3A73F6-BC4C-4379-957C-9B6FC401E084}" id="{300977D4-3B2F-4975-8D94-D24D39DB2CA8}">
    <text>17339110 KAISis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627A-1262-4749-A5A5-899B5ECF16D2}">
  <dimension ref="A1:J93"/>
  <sheetViews>
    <sheetView tabSelected="1" zoomScale="75" zoomScaleNormal="75" workbookViewId="0">
      <pane ySplit="5" topLeftCell="A6" activePane="bottomLeft" state="frozen"/>
      <selection pane="bottomLeft"/>
    </sheetView>
  </sheetViews>
  <sheetFormatPr defaultRowHeight="15" x14ac:dyDescent="0.25"/>
  <cols>
    <col min="1" max="1" width="66.28515625" customWidth="1"/>
    <col min="2" max="2" width="63.42578125" customWidth="1"/>
    <col min="3" max="7" width="16.5703125" style="37" bestFit="1" customWidth="1"/>
    <col min="8" max="8" width="15.140625" bestFit="1" customWidth="1"/>
    <col min="9" max="9" width="14.5703125" bestFit="1" customWidth="1"/>
    <col min="10" max="10" width="12.85546875" bestFit="1" customWidth="1"/>
    <col min="11" max="11" width="14.5703125" bestFit="1" customWidth="1"/>
  </cols>
  <sheetData>
    <row r="1" spans="1:10" s="17" customFormat="1" ht="20.25" x14ac:dyDescent="0.3">
      <c r="A1" s="16" t="s">
        <v>54</v>
      </c>
      <c r="C1" s="18"/>
      <c r="D1" s="18"/>
      <c r="E1" s="18"/>
      <c r="F1" s="18"/>
      <c r="G1" s="19"/>
    </row>
    <row r="2" spans="1:10" s="17" customFormat="1" ht="15.75" x14ac:dyDescent="0.25">
      <c r="A2" s="17" t="s">
        <v>53</v>
      </c>
      <c r="C2" s="18"/>
      <c r="D2" s="18"/>
      <c r="E2" s="18"/>
      <c r="F2" s="18"/>
      <c r="G2" s="19"/>
    </row>
    <row r="5" spans="1:10" ht="31.5" x14ac:dyDescent="0.25">
      <c r="A5" s="51"/>
      <c r="B5" s="51"/>
      <c r="C5" s="52" t="s">
        <v>55</v>
      </c>
      <c r="D5" s="52" t="s">
        <v>56</v>
      </c>
      <c r="E5" s="52" t="s">
        <v>57</v>
      </c>
      <c r="F5" s="52" t="s">
        <v>58</v>
      </c>
      <c r="G5" s="52" t="s">
        <v>59</v>
      </c>
      <c r="H5" s="46"/>
      <c r="I5" s="47"/>
    </row>
    <row r="6" spans="1:10" ht="15.75" x14ac:dyDescent="0.25">
      <c r="A6" s="49" t="s">
        <v>0</v>
      </c>
      <c r="B6" s="50"/>
      <c r="C6" s="42"/>
      <c r="D6" s="53"/>
      <c r="E6" s="20"/>
      <c r="F6" s="20"/>
      <c r="G6" s="54"/>
      <c r="H6" s="45"/>
    </row>
    <row r="7" spans="1:10" ht="15.75" x14ac:dyDescent="0.25">
      <c r="A7" s="55" t="s">
        <v>1</v>
      </c>
      <c r="B7" s="55"/>
      <c r="C7" s="39">
        <f>SUM(C8:C12)</f>
        <v>7872819</v>
      </c>
      <c r="D7" s="39">
        <f t="shared" ref="D7:G7" si="0">SUM(D8:D12)</f>
        <v>7872819</v>
      </c>
      <c r="E7" s="39">
        <f t="shared" si="0"/>
        <v>10209318.979999999</v>
      </c>
      <c r="F7" s="39">
        <f t="shared" si="0"/>
        <v>11557429.369999999</v>
      </c>
      <c r="G7" s="39">
        <f t="shared" si="0"/>
        <v>2336499.9799999995</v>
      </c>
      <c r="H7" s="37"/>
    </row>
    <row r="8" spans="1:10" ht="15.75" x14ac:dyDescent="0.25">
      <c r="A8" s="56"/>
      <c r="B8" s="57" t="s">
        <v>2</v>
      </c>
      <c r="C8" s="40">
        <v>7200</v>
      </c>
      <c r="D8" s="40">
        <f>C8</f>
        <v>7200</v>
      </c>
      <c r="E8" s="40">
        <v>7530</v>
      </c>
      <c r="F8" s="40">
        <v>8420</v>
      </c>
      <c r="G8" s="40">
        <f>E8-D8</f>
        <v>330</v>
      </c>
    </row>
    <row r="9" spans="1:10" ht="15.75" x14ac:dyDescent="0.25">
      <c r="A9" s="56"/>
      <c r="B9" s="57" t="s">
        <v>3</v>
      </c>
      <c r="C9" s="40">
        <v>2204731</v>
      </c>
      <c r="D9" s="40">
        <f t="shared" ref="D9:D12" si="1">C9</f>
        <v>2204731</v>
      </c>
      <c r="E9" s="40">
        <f>3122913+142798.52-1378.82</f>
        <v>3264332.7</v>
      </c>
      <c r="F9" s="40">
        <f>2801123.87+142485.92-147.8</f>
        <v>2943461.99</v>
      </c>
      <c r="G9" s="40">
        <f t="shared" ref="G9:G12" si="2">E9-D9</f>
        <v>1059601.7000000002</v>
      </c>
    </row>
    <row r="10" spans="1:10" ht="15.75" x14ac:dyDescent="0.25">
      <c r="A10" s="56"/>
      <c r="B10" s="57" t="s">
        <v>4</v>
      </c>
      <c r="C10" s="40">
        <v>5660888</v>
      </c>
      <c r="D10" s="40">
        <f t="shared" si="1"/>
        <v>5660888</v>
      </c>
      <c r="E10" s="40">
        <f>7647658.3-4826.4-651518.67-58950.24</f>
        <v>6932362.9899999993</v>
      </c>
      <c r="F10" s="40">
        <f>11089093.74-73758.85-2262727.65-154263.46</f>
        <v>8598343.7799999993</v>
      </c>
      <c r="G10" s="40">
        <f t="shared" si="2"/>
        <v>1271474.9899999993</v>
      </c>
    </row>
    <row r="11" spans="1:10" ht="15.75" x14ac:dyDescent="0.25">
      <c r="A11" s="56"/>
      <c r="B11" s="57" t="s">
        <v>5</v>
      </c>
      <c r="C11" s="40">
        <v>0</v>
      </c>
      <c r="D11" s="40">
        <f t="shared" si="1"/>
        <v>0</v>
      </c>
      <c r="E11" s="40">
        <f>37.65+4465.03</f>
        <v>4502.6799999999994</v>
      </c>
      <c r="F11" s="40">
        <f>6996.28+207.32</f>
        <v>7203.5999999999995</v>
      </c>
      <c r="G11" s="40">
        <f t="shared" si="2"/>
        <v>4502.6799999999994</v>
      </c>
      <c r="H11" s="37"/>
    </row>
    <row r="12" spans="1:10" ht="15.75" x14ac:dyDescent="0.25">
      <c r="A12" s="56"/>
      <c r="B12" s="57" t="s">
        <v>6</v>
      </c>
      <c r="C12" s="40">
        <v>0</v>
      </c>
      <c r="D12" s="40">
        <f t="shared" si="1"/>
        <v>0</v>
      </c>
      <c r="E12" s="40">
        <v>590.61</v>
      </c>
      <c r="F12" s="40">
        <v>0</v>
      </c>
      <c r="G12" s="40">
        <f t="shared" si="2"/>
        <v>590.61</v>
      </c>
      <c r="H12" s="37"/>
    </row>
    <row r="13" spans="1:10" ht="15.75" x14ac:dyDescent="0.25">
      <c r="A13" s="55" t="s">
        <v>7</v>
      </c>
      <c r="B13" s="55"/>
      <c r="C13" s="39">
        <f>C15+C25+C69+C87</f>
        <v>-364126324</v>
      </c>
      <c r="D13" s="39">
        <f>D15+D25+D69+D87</f>
        <v>-468189351.16000003</v>
      </c>
      <c r="E13" s="39">
        <f>E15+E25+E69+E87</f>
        <v>-363860924.64999998</v>
      </c>
      <c r="F13" s="39">
        <f t="shared" ref="F13:G13" si="3">F15+F25+F69+F87</f>
        <v>-328786053.01999998</v>
      </c>
      <c r="G13" s="39">
        <f t="shared" si="3"/>
        <v>104328426.51000004</v>
      </c>
      <c r="H13" s="18"/>
      <c r="J13" s="37"/>
    </row>
    <row r="14" spans="1:10" ht="15.75" x14ac:dyDescent="0.25">
      <c r="A14" s="56"/>
      <c r="B14" s="57" t="s">
        <v>8</v>
      </c>
      <c r="C14" s="40">
        <f>C16+C26+C88</f>
        <v>-309717143</v>
      </c>
      <c r="D14" s="40">
        <f t="shared" ref="D14:G14" si="4">D16+D26+D88</f>
        <v>-364147277.52999997</v>
      </c>
      <c r="E14" s="40">
        <f>E16+E26+E88</f>
        <v>-307247873.40999997</v>
      </c>
      <c r="F14" s="40">
        <f t="shared" si="4"/>
        <v>-271080512.55000001</v>
      </c>
      <c r="G14" s="40">
        <f t="shared" si="4"/>
        <v>56899404.120000035</v>
      </c>
      <c r="H14" s="37"/>
    </row>
    <row r="15" spans="1:10" ht="15.75" x14ac:dyDescent="0.25">
      <c r="A15" s="49" t="s">
        <v>9</v>
      </c>
      <c r="B15" s="49"/>
      <c r="C15" s="41">
        <f>C19+C21+C23</f>
        <v>-10061082</v>
      </c>
      <c r="D15" s="41">
        <f>D19+D21+D23</f>
        <v>-19746985</v>
      </c>
      <c r="E15" s="41">
        <f t="shared" ref="E15:G16" si="5">E19+E21+E23</f>
        <v>-11275004</v>
      </c>
      <c r="F15" s="41">
        <f t="shared" si="5"/>
        <v>-11193991</v>
      </c>
      <c r="G15" s="41">
        <f t="shared" si="5"/>
        <v>8471981</v>
      </c>
      <c r="H15" s="37"/>
    </row>
    <row r="16" spans="1:10" ht="15.75" x14ac:dyDescent="0.25">
      <c r="A16" s="49"/>
      <c r="B16" s="57" t="s">
        <v>8</v>
      </c>
      <c r="C16" s="42">
        <f>C20+C22+C24</f>
        <v>-6295255</v>
      </c>
      <c r="D16" s="42">
        <f>D20+D22+D24</f>
        <v>-17640867</v>
      </c>
      <c r="E16" s="42">
        <f t="shared" si="5"/>
        <v>-9857295</v>
      </c>
      <c r="F16" s="42">
        <f t="shared" si="5"/>
        <v>-8112760</v>
      </c>
      <c r="G16" s="42">
        <f t="shared" si="5"/>
        <v>7783572</v>
      </c>
      <c r="H16" s="37"/>
    </row>
    <row r="17" spans="1:10" ht="15.75" x14ac:dyDescent="0.25">
      <c r="A17" s="79" t="s">
        <v>116</v>
      </c>
      <c r="B17" s="58"/>
      <c r="C17" s="41">
        <f>C19+C21+C23</f>
        <v>-10061082</v>
      </c>
      <c r="D17" s="41">
        <f>D19+D21+D23</f>
        <v>-19746985</v>
      </c>
      <c r="E17" s="41">
        <f t="shared" ref="E17:G18" si="6">E19+E21+E23</f>
        <v>-11275004</v>
      </c>
      <c r="F17" s="41">
        <f t="shared" si="6"/>
        <v>-11193991</v>
      </c>
      <c r="G17" s="41">
        <f t="shared" si="6"/>
        <v>8471981</v>
      </c>
    </row>
    <row r="18" spans="1:10" ht="15.75" x14ac:dyDescent="0.25">
      <c r="A18" s="58"/>
      <c r="B18" s="57" t="s">
        <v>8</v>
      </c>
      <c r="C18" s="42">
        <f>C20+C22+C24</f>
        <v>-6295255</v>
      </c>
      <c r="D18" s="42">
        <f>D20+D22+D24</f>
        <v>-17640867</v>
      </c>
      <c r="E18" s="42">
        <f t="shared" si="6"/>
        <v>-9857295</v>
      </c>
      <c r="F18" s="42">
        <f t="shared" si="6"/>
        <v>-8112760</v>
      </c>
      <c r="G18" s="42">
        <f t="shared" si="6"/>
        <v>7783572</v>
      </c>
    </row>
    <row r="19" spans="1:10" ht="15.75" x14ac:dyDescent="0.25">
      <c r="A19" s="59" t="s">
        <v>10</v>
      </c>
      <c r="B19" s="50"/>
      <c r="C19" s="42">
        <v>-9914082</v>
      </c>
      <c r="D19" s="40">
        <f>C19+3765827-13451720</f>
        <v>-19599975</v>
      </c>
      <c r="E19" s="42">
        <v>-11204823</v>
      </c>
      <c r="F19" s="42">
        <f>-1872207-9321784</f>
        <v>-11193991</v>
      </c>
      <c r="G19" s="40">
        <f t="shared" ref="G19:G24" si="7">E19-D19</f>
        <v>8395152</v>
      </c>
    </row>
    <row r="20" spans="1:10" ht="15.75" x14ac:dyDescent="0.25">
      <c r="A20" s="60"/>
      <c r="B20" s="57" t="s">
        <v>8</v>
      </c>
      <c r="C20" s="42">
        <v>-6148255</v>
      </c>
      <c r="D20" s="40">
        <f>C20-11345602</f>
        <v>-17493857</v>
      </c>
      <c r="E20" s="42">
        <v>-9787114</v>
      </c>
      <c r="F20" s="42">
        <f>-1767109-6345651</f>
        <v>-8112760</v>
      </c>
      <c r="G20" s="40">
        <f t="shared" si="7"/>
        <v>7706743</v>
      </c>
    </row>
    <row r="21" spans="1:10" ht="15.75" hidden="1" x14ac:dyDescent="0.25">
      <c r="A21" s="59" t="s">
        <v>11</v>
      </c>
      <c r="B21" s="57"/>
      <c r="C21" s="40"/>
      <c r="D21" s="40">
        <f>C21</f>
        <v>0</v>
      </c>
      <c r="E21" s="40"/>
      <c r="F21" s="40"/>
      <c r="G21" s="40">
        <f t="shared" si="7"/>
        <v>0</v>
      </c>
    </row>
    <row r="22" spans="1:10" ht="15.75" hidden="1" x14ac:dyDescent="0.25">
      <c r="A22" s="56"/>
      <c r="B22" s="57" t="s">
        <v>8</v>
      </c>
      <c r="C22" s="40"/>
      <c r="D22" s="40">
        <f>C22</f>
        <v>0</v>
      </c>
      <c r="E22" s="40"/>
      <c r="F22" s="40"/>
      <c r="G22" s="40">
        <f t="shared" si="7"/>
        <v>0</v>
      </c>
    </row>
    <row r="23" spans="1:10" ht="15.75" x14ac:dyDescent="0.25">
      <c r="A23" s="61" t="s">
        <v>12</v>
      </c>
      <c r="B23" s="57"/>
      <c r="C23" s="40">
        <v>-147000</v>
      </c>
      <c r="D23" s="40">
        <f>C23-10</f>
        <v>-147010</v>
      </c>
      <c r="E23" s="40">
        <v>-70181</v>
      </c>
      <c r="F23" s="40">
        <v>0</v>
      </c>
      <c r="G23" s="40">
        <f t="shared" si="7"/>
        <v>76829</v>
      </c>
    </row>
    <row r="24" spans="1:10" ht="15.75" x14ac:dyDescent="0.25">
      <c r="A24" s="56"/>
      <c r="B24" s="57" t="s">
        <v>8</v>
      </c>
      <c r="C24" s="40">
        <v>-147000</v>
      </c>
      <c r="D24" s="40">
        <f>C24-10</f>
        <v>-147010</v>
      </c>
      <c r="E24" s="40">
        <v>-70181</v>
      </c>
      <c r="F24" s="40">
        <v>0</v>
      </c>
      <c r="G24" s="40">
        <f t="shared" si="7"/>
        <v>76829</v>
      </c>
    </row>
    <row r="25" spans="1:10" ht="15.75" x14ac:dyDescent="0.25">
      <c r="A25" s="49" t="s">
        <v>13</v>
      </c>
      <c r="B25" s="49"/>
      <c r="C25" s="43">
        <f>C27+C61</f>
        <v>-351921868</v>
      </c>
      <c r="D25" s="43">
        <f>D27+D61</f>
        <v>-446172251</v>
      </c>
      <c r="E25" s="43">
        <f>E27+E61</f>
        <v>-350364418</v>
      </c>
      <c r="F25" s="43">
        <f t="shared" ref="D25:F26" si="8">F27+F61</f>
        <v>-314227195</v>
      </c>
      <c r="G25" s="43">
        <f>G27+G61</f>
        <v>95807833</v>
      </c>
      <c r="H25" s="37"/>
    </row>
    <row r="26" spans="1:10" ht="15.75" x14ac:dyDescent="0.25">
      <c r="A26" s="50"/>
      <c r="B26" s="57" t="s">
        <v>8</v>
      </c>
      <c r="C26" s="20">
        <f>C28+C62</f>
        <v>-303421888</v>
      </c>
      <c r="D26" s="20">
        <f t="shared" si="8"/>
        <v>-346506411</v>
      </c>
      <c r="E26" s="20">
        <f t="shared" si="8"/>
        <v>-297390578.5</v>
      </c>
      <c r="F26" s="20">
        <f t="shared" si="8"/>
        <v>-262967752.55000001</v>
      </c>
      <c r="G26" s="20">
        <f>G28+G62</f>
        <v>49115832.5</v>
      </c>
      <c r="H26" s="37"/>
      <c r="I26" s="37"/>
    </row>
    <row r="27" spans="1:10" ht="15.75" x14ac:dyDescent="0.25">
      <c r="A27" s="58" t="s">
        <v>14</v>
      </c>
      <c r="B27" s="49"/>
      <c r="C27" s="41">
        <f>C29+C31+C33+C35+C37+C39+C41+C43+C45+C47+C49+C51+C53+C55+C57+C59</f>
        <v>-292045374</v>
      </c>
      <c r="D27" s="41">
        <f t="shared" ref="D27:G28" si="9">D29+D31+D33+D35+D37+D39+D41+D43+D45+D47+D49+D51+D53+D55+D57+D59</f>
        <v>-378014922</v>
      </c>
      <c r="E27" s="41">
        <f t="shared" si="9"/>
        <v>-298369370</v>
      </c>
      <c r="F27" s="41">
        <f t="shared" si="9"/>
        <v>-265158632</v>
      </c>
      <c r="G27" s="41">
        <f t="shared" si="9"/>
        <v>79645552</v>
      </c>
      <c r="H27" s="37"/>
    </row>
    <row r="28" spans="1:10" ht="15.75" x14ac:dyDescent="0.25">
      <c r="A28" s="49"/>
      <c r="B28" s="57" t="s">
        <v>8</v>
      </c>
      <c r="C28" s="42">
        <f>C30+C32+C34+C36+C38+C40+C42+C44+C46+C48+C50+C52+C54+C56+C58+C60</f>
        <v>-247431714</v>
      </c>
      <c r="D28" s="42">
        <f t="shared" si="9"/>
        <v>-282235402</v>
      </c>
      <c r="E28" s="42">
        <f t="shared" si="9"/>
        <v>-249196144.5</v>
      </c>
      <c r="F28" s="42">
        <f t="shared" si="9"/>
        <v>-218297989.55000001</v>
      </c>
      <c r="G28" s="42">
        <f t="shared" si="9"/>
        <v>33039257.5</v>
      </c>
      <c r="H28" s="37"/>
    </row>
    <row r="29" spans="1:10" ht="15.75" x14ac:dyDescent="0.25">
      <c r="A29" s="62" t="s">
        <v>15</v>
      </c>
      <c r="B29" s="57"/>
      <c r="C29" s="42">
        <v>-3133452</v>
      </c>
      <c r="D29" s="40">
        <f>C29+47000-15680</f>
        <v>-3102132</v>
      </c>
      <c r="E29" s="42">
        <f>-2215146-936423</f>
        <v>-3151569</v>
      </c>
      <c r="F29" s="42">
        <v>-4290977</v>
      </c>
      <c r="G29" s="40">
        <f t="shared" ref="G29:G60" si="10">E29-D29</f>
        <v>-49437</v>
      </c>
    </row>
    <row r="30" spans="1:10" ht="15.75" x14ac:dyDescent="0.25">
      <c r="A30" s="62"/>
      <c r="B30" s="57" t="s">
        <v>8</v>
      </c>
      <c r="C30" s="42">
        <v>-336000</v>
      </c>
      <c r="D30" s="40">
        <f>C30+47000-15680</f>
        <v>-304680</v>
      </c>
      <c r="E30" s="42">
        <v>-289890</v>
      </c>
      <c r="F30" s="42">
        <v>-1648199</v>
      </c>
      <c r="G30" s="40">
        <f t="shared" si="10"/>
        <v>14790</v>
      </c>
      <c r="H30" s="37"/>
      <c r="I30" s="37"/>
      <c r="J30" s="44"/>
    </row>
    <row r="31" spans="1:10" ht="15.75" x14ac:dyDescent="0.25">
      <c r="A31" s="62" t="s">
        <v>16</v>
      </c>
      <c r="B31" s="57"/>
      <c r="C31" s="42">
        <v>-8724687</v>
      </c>
      <c r="D31" s="40">
        <f>C31-38535+38000-86679-48777</f>
        <v>-8860678</v>
      </c>
      <c r="E31" s="42">
        <f>-5867760+531-2865152</f>
        <v>-8732381</v>
      </c>
      <c r="F31" s="42">
        <v>-7554321</v>
      </c>
      <c r="G31" s="40">
        <f t="shared" si="10"/>
        <v>128297</v>
      </c>
      <c r="H31" s="37"/>
      <c r="I31" s="37"/>
    </row>
    <row r="32" spans="1:10" ht="15.75" x14ac:dyDescent="0.25">
      <c r="A32" s="62"/>
      <c r="B32" s="57" t="s">
        <v>8</v>
      </c>
      <c r="C32" s="42">
        <v>-5764062</v>
      </c>
      <c r="D32" s="40">
        <f>C32-38535-22890</f>
        <v>-5825487</v>
      </c>
      <c r="E32" s="42">
        <f>-5772264+531</f>
        <v>-5771733</v>
      </c>
      <c r="F32" s="42">
        <v>-4722019</v>
      </c>
      <c r="G32" s="40">
        <f t="shared" si="10"/>
        <v>53754</v>
      </c>
      <c r="H32" s="37"/>
      <c r="I32" s="37"/>
    </row>
    <row r="33" spans="1:9" ht="15.75" x14ac:dyDescent="0.25">
      <c r="A33" s="62" t="s">
        <v>17</v>
      </c>
      <c r="B33" s="57"/>
      <c r="C33" s="42">
        <v>-44794513</v>
      </c>
      <c r="D33" s="40">
        <f>C33-464822-62890-3185258</f>
        <v>-48507483</v>
      </c>
      <c r="E33" s="42">
        <f>-45278237-3040491</f>
        <v>-48318728</v>
      </c>
      <c r="F33" s="42">
        <v>-43343035</v>
      </c>
      <c r="G33" s="40">
        <f t="shared" si="10"/>
        <v>188755</v>
      </c>
      <c r="H33" s="37"/>
    </row>
    <row r="34" spans="1:9" ht="15.75" x14ac:dyDescent="0.25">
      <c r="A34" s="62"/>
      <c r="B34" s="57" t="s">
        <v>8</v>
      </c>
      <c r="C34" s="42">
        <v>-41685457</v>
      </c>
      <c r="D34" s="40">
        <f>C34-464822-62890-3185258</f>
        <v>-45398427</v>
      </c>
      <c r="E34" s="42">
        <v>-45278237</v>
      </c>
      <c r="F34" s="42">
        <v>-40397605</v>
      </c>
      <c r="G34" s="40">
        <f t="shared" si="10"/>
        <v>120190</v>
      </c>
      <c r="I34" s="37"/>
    </row>
    <row r="35" spans="1:9" ht="15.75" x14ac:dyDescent="0.25">
      <c r="A35" s="62" t="s">
        <v>18</v>
      </c>
      <c r="B35" s="57"/>
      <c r="C35" s="42">
        <v>-17447252</v>
      </c>
      <c r="D35" s="40">
        <f>C35+70000-2031651</f>
        <v>-19408903</v>
      </c>
      <c r="E35" s="42">
        <f>-13166286-3625275</f>
        <v>-16791561</v>
      </c>
      <c r="F35" s="42">
        <v>-16046381</v>
      </c>
      <c r="G35" s="40">
        <f t="shared" si="10"/>
        <v>2617342</v>
      </c>
    </row>
    <row r="36" spans="1:9" ht="15.75" x14ac:dyDescent="0.25">
      <c r="A36" s="62"/>
      <c r="B36" s="57" t="s">
        <v>8</v>
      </c>
      <c r="C36" s="42">
        <v>-13747363</v>
      </c>
      <c r="D36" s="40">
        <f>C36+70000-2031651</f>
        <v>-15709014</v>
      </c>
      <c r="E36" s="42">
        <v>-13166286</v>
      </c>
      <c r="F36" s="42">
        <v>-12535378</v>
      </c>
      <c r="G36" s="40">
        <f t="shared" si="10"/>
        <v>2542728</v>
      </c>
      <c r="H36" s="37"/>
      <c r="I36" s="37"/>
    </row>
    <row r="37" spans="1:9" ht="15.75" x14ac:dyDescent="0.25">
      <c r="A37" s="62" t="s">
        <v>19</v>
      </c>
      <c r="B37" s="57"/>
      <c r="C37" s="42">
        <v>-18741063</v>
      </c>
      <c r="D37" s="40">
        <f>C37+1000-576972</f>
        <v>-19317035</v>
      </c>
      <c r="E37" s="42">
        <f>-14959205-3625275</f>
        <v>-18584480</v>
      </c>
      <c r="F37" s="42">
        <v>-16426909</v>
      </c>
      <c r="G37" s="40">
        <f t="shared" si="10"/>
        <v>732555</v>
      </c>
      <c r="H37" s="37"/>
      <c r="I37" s="37"/>
    </row>
    <row r="38" spans="1:9" ht="15.75" x14ac:dyDescent="0.25">
      <c r="A38" s="62"/>
      <c r="B38" s="57" t="s">
        <v>8</v>
      </c>
      <c r="C38" s="42">
        <v>-15040174</v>
      </c>
      <c r="D38" s="40">
        <f>C38-569686</f>
        <v>-15609860</v>
      </c>
      <c r="E38" s="42">
        <v>-14959205</v>
      </c>
      <c r="F38" s="42">
        <v>-12909906</v>
      </c>
      <c r="G38" s="40">
        <f t="shared" si="10"/>
        <v>650655</v>
      </c>
    </row>
    <row r="39" spans="1:9" ht="15.75" x14ac:dyDescent="0.25">
      <c r="A39" s="62" t="s">
        <v>20</v>
      </c>
      <c r="B39" s="57"/>
      <c r="C39" s="42">
        <v>-9759845</v>
      </c>
      <c r="D39" s="40">
        <f>C39-51380+3300000+5000-508647</f>
        <v>-7014872</v>
      </c>
      <c r="E39" s="42">
        <f>-3046014-3449936</f>
        <v>-6495950</v>
      </c>
      <c r="F39" s="42">
        <v>-6381802</v>
      </c>
      <c r="G39" s="40">
        <f t="shared" si="10"/>
        <v>518922</v>
      </c>
      <c r="H39" s="37"/>
      <c r="I39" s="37"/>
    </row>
    <row r="40" spans="1:9" ht="15.75" x14ac:dyDescent="0.25">
      <c r="A40" s="62"/>
      <c r="B40" s="57" t="s">
        <v>8</v>
      </c>
      <c r="C40" s="42">
        <v>-6241387</v>
      </c>
      <c r="D40" s="40">
        <f>C40-51380+3300000-460985</f>
        <v>-3453752</v>
      </c>
      <c r="E40" s="42">
        <v>-3022014</v>
      </c>
      <c r="F40" s="42">
        <v>-3023583</v>
      </c>
      <c r="G40" s="40">
        <f t="shared" si="10"/>
        <v>431738</v>
      </c>
      <c r="H40" s="37"/>
      <c r="I40" s="37"/>
    </row>
    <row r="41" spans="1:9" ht="15.75" x14ac:dyDescent="0.25">
      <c r="A41" s="80" t="s">
        <v>118</v>
      </c>
      <c r="B41" s="57"/>
      <c r="C41" s="42">
        <v>-2523361</v>
      </c>
      <c r="D41" s="40">
        <f>C41+25000-5000-6241</f>
        <v>-2509602</v>
      </c>
      <c r="E41" s="42">
        <f>-362159-2105029</f>
        <v>-2467188</v>
      </c>
      <c r="F41" s="42">
        <v>-2425932</v>
      </c>
      <c r="G41" s="40">
        <f t="shared" si="10"/>
        <v>42414</v>
      </c>
    </row>
    <row r="42" spans="1:9" ht="15.75" x14ac:dyDescent="0.25">
      <c r="A42" s="62"/>
      <c r="B42" s="57" t="s">
        <v>8</v>
      </c>
      <c r="C42" s="42">
        <v>-378000</v>
      </c>
      <c r="D42" s="40">
        <f>C42+25000-5000-6241</f>
        <v>-364241</v>
      </c>
      <c r="E42" s="42">
        <v>-362159</v>
      </c>
      <c r="F42" s="42">
        <v>-387643</v>
      </c>
      <c r="G42" s="40">
        <f t="shared" si="10"/>
        <v>2082</v>
      </c>
      <c r="H42" s="37"/>
      <c r="I42" s="37"/>
    </row>
    <row r="43" spans="1:9" ht="15.75" x14ac:dyDescent="0.25">
      <c r="A43" s="62" t="s">
        <v>21</v>
      </c>
      <c r="B43" s="57"/>
      <c r="C43" s="42">
        <v>-44685233</v>
      </c>
      <c r="D43" s="40">
        <f>C43-2672592</f>
        <v>-47357825</v>
      </c>
      <c r="E43" s="42">
        <v>-47333330</v>
      </c>
      <c r="F43" s="42">
        <v>-42770200</v>
      </c>
      <c r="G43" s="40">
        <f t="shared" si="10"/>
        <v>24495</v>
      </c>
      <c r="H43" s="37"/>
      <c r="I43" s="37"/>
    </row>
    <row r="44" spans="1:9" ht="15.75" x14ac:dyDescent="0.25">
      <c r="A44" s="62"/>
      <c r="B44" s="57" t="s">
        <v>8</v>
      </c>
      <c r="C44" s="42">
        <v>-44685233</v>
      </c>
      <c r="D44" s="40">
        <f>C44-2672592</f>
        <v>-47357825</v>
      </c>
      <c r="E44" s="42">
        <v>-47333330</v>
      </c>
      <c r="F44" s="42">
        <v>-42770200</v>
      </c>
      <c r="G44" s="40">
        <f t="shared" si="10"/>
        <v>24495</v>
      </c>
    </row>
    <row r="45" spans="1:9" ht="15.75" x14ac:dyDescent="0.25">
      <c r="A45" s="80" t="s">
        <v>119</v>
      </c>
      <c r="B45" s="57"/>
      <c r="C45" s="42">
        <v>-54538350</v>
      </c>
      <c r="D45" s="40">
        <f>C45-179000-476254+2934369-64899443-464646+1</f>
        <v>-117623323</v>
      </c>
      <c r="E45" s="42">
        <f>-55305819</f>
        <v>-55305819</v>
      </c>
      <c r="F45" s="42">
        <f>-43458930-33228-9591260</f>
        <v>-53083418</v>
      </c>
      <c r="G45" s="40">
        <f t="shared" si="10"/>
        <v>62317504</v>
      </c>
    </row>
    <row r="46" spans="1:9" ht="15.75" x14ac:dyDescent="0.25">
      <c r="A46" s="62"/>
      <c r="B46" s="57" t="s">
        <v>8</v>
      </c>
      <c r="C46" s="42">
        <v>-50661343</v>
      </c>
      <c r="D46" s="40">
        <f>C46-179000-476254-11087859+1</f>
        <v>-62404455</v>
      </c>
      <c r="E46" s="42">
        <f>-47464606-34347+2.5</f>
        <v>-47498950.5</v>
      </c>
      <c r="F46" s="42">
        <f>-36507905-33228-38300-187511.55-9033872</f>
        <v>-45800816.549999997</v>
      </c>
      <c r="G46" s="40">
        <f t="shared" si="10"/>
        <v>14905504.5</v>
      </c>
    </row>
    <row r="47" spans="1:9" ht="15.75" hidden="1" x14ac:dyDescent="0.25">
      <c r="A47" s="62" t="s">
        <v>22</v>
      </c>
      <c r="B47" s="57"/>
      <c r="C47" s="42"/>
      <c r="D47" s="40">
        <f t="shared" ref="D47:D58" si="11">C47</f>
        <v>0</v>
      </c>
      <c r="E47" s="42"/>
      <c r="F47" s="42"/>
      <c r="G47" s="40">
        <f t="shared" si="10"/>
        <v>0</v>
      </c>
    </row>
    <row r="48" spans="1:9" ht="15.75" hidden="1" x14ac:dyDescent="0.25">
      <c r="A48" s="62"/>
      <c r="B48" s="57" t="s">
        <v>8</v>
      </c>
      <c r="C48" s="42"/>
      <c r="D48" s="40">
        <f t="shared" si="11"/>
        <v>0</v>
      </c>
      <c r="E48" s="42"/>
      <c r="F48" s="42"/>
      <c r="G48" s="40">
        <f t="shared" si="10"/>
        <v>0</v>
      </c>
    </row>
    <row r="49" spans="1:8" ht="15.75" x14ac:dyDescent="0.25">
      <c r="A49" s="62" t="s">
        <v>23</v>
      </c>
      <c r="B49" s="57"/>
      <c r="C49" s="42">
        <v>-38395216</v>
      </c>
      <c r="D49" s="40">
        <f>C49-3300000-6546815</f>
        <v>-48242031</v>
      </c>
      <c r="E49" s="42">
        <f>-44657616-5641</f>
        <v>-44663257</v>
      </c>
      <c r="F49" s="42">
        <f>-35016749</f>
        <v>-35016749</v>
      </c>
      <c r="G49" s="40">
        <f t="shared" si="10"/>
        <v>3578774</v>
      </c>
    </row>
    <row r="50" spans="1:8" ht="15.75" x14ac:dyDescent="0.25">
      <c r="A50" s="62"/>
      <c r="B50" s="57" t="s">
        <v>8</v>
      </c>
      <c r="C50" s="42">
        <v>-38395216</v>
      </c>
      <c r="D50" s="40">
        <f>C50-3300000-6546815</f>
        <v>-48242031</v>
      </c>
      <c r="E50" s="42">
        <f>-44657616-5641</f>
        <v>-44663257</v>
      </c>
      <c r="F50" s="42">
        <f>-35009987-7165</f>
        <v>-35017152</v>
      </c>
      <c r="G50" s="40">
        <f t="shared" si="10"/>
        <v>3578774</v>
      </c>
    </row>
    <row r="51" spans="1:8" ht="15.75" x14ac:dyDescent="0.25">
      <c r="A51" s="62" t="s">
        <v>24</v>
      </c>
      <c r="B51" s="57"/>
      <c r="C51" s="42">
        <v>-14357773</v>
      </c>
      <c r="D51" s="40">
        <f>C51+320000+174682+78731-1898156+3</f>
        <v>-15682513</v>
      </c>
      <c r="E51" s="42">
        <f>-11347014+16852-3446937</f>
        <v>-14777099</v>
      </c>
      <c r="F51" s="42">
        <f>-10322274</f>
        <v>-10322274</v>
      </c>
      <c r="G51" s="40">
        <f t="shared" si="10"/>
        <v>905414</v>
      </c>
    </row>
    <row r="52" spans="1:8" ht="15.75" x14ac:dyDescent="0.25">
      <c r="A52" s="62"/>
      <c r="B52" s="57" t="s">
        <v>8</v>
      </c>
      <c r="C52" s="42">
        <v>-10761616</v>
      </c>
      <c r="D52" s="40">
        <f>C52+320000+174682-1648812</f>
        <v>-11915746</v>
      </c>
      <c r="E52" s="42">
        <f>-11197074+16852</f>
        <v>-11180222</v>
      </c>
      <c r="F52" s="42">
        <f>-6476304-31188</f>
        <v>-6507492</v>
      </c>
      <c r="G52" s="40">
        <f t="shared" si="10"/>
        <v>735524</v>
      </c>
    </row>
    <row r="53" spans="1:8" ht="15.75" x14ac:dyDescent="0.25">
      <c r="A53" s="80" t="s">
        <v>117</v>
      </c>
      <c r="B53" s="57"/>
      <c r="C53" s="42">
        <v>-52774</v>
      </c>
      <c r="D53" s="40">
        <f>C53-227100</f>
        <v>-279874</v>
      </c>
      <c r="E53" s="42">
        <v>-224021</v>
      </c>
      <c r="F53" s="42">
        <v>-123428</v>
      </c>
      <c r="G53" s="40">
        <f t="shared" si="10"/>
        <v>55853</v>
      </c>
    </row>
    <row r="54" spans="1:8" ht="15.75" x14ac:dyDescent="0.25">
      <c r="A54" s="62"/>
      <c r="B54" s="57" t="s">
        <v>8</v>
      </c>
      <c r="C54" s="42">
        <v>-52774</v>
      </c>
      <c r="D54" s="40">
        <f>C54-227100</f>
        <v>-279874</v>
      </c>
      <c r="E54" s="42">
        <v>-224021</v>
      </c>
      <c r="F54" s="42">
        <v>-82060</v>
      </c>
      <c r="G54" s="40">
        <f t="shared" si="10"/>
        <v>55853</v>
      </c>
    </row>
    <row r="55" spans="1:8" ht="15.75" x14ac:dyDescent="0.25">
      <c r="A55" s="62" t="s">
        <v>25</v>
      </c>
      <c r="B55" s="57"/>
      <c r="C55" s="42">
        <v>-4909835</v>
      </c>
      <c r="D55" s="40">
        <f>C55+22000-310614</f>
        <v>-5198449</v>
      </c>
      <c r="E55" s="42">
        <v>-4856454</v>
      </c>
      <c r="F55" s="42">
        <v>-4226635</v>
      </c>
      <c r="G55" s="40">
        <f t="shared" si="10"/>
        <v>341995</v>
      </c>
    </row>
    <row r="56" spans="1:8" ht="15.75" x14ac:dyDescent="0.25">
      <c r="A56" s="62"/>
      <c r="B56" s="57" t="s">
        <v>8</v>
      </c>
      <c r="C56" s="42">
        <v>-4909835</v>
      </c>
      <c r="D56" s="40">
        <f>C56+22000-249163</f>
        <v>-5136998</v>
      </c>
      <c r="E56" s="42">
        <v>-4811450</v>
      </c>
      <c r="F56" s="42">
        <v>-4119371</v>
      </c>
      <c r="G56" s="40">
        <f t="shared" si="10"/>
        <v>325548</v>
      </c>
    </row>
    <row r="57" spans="1:8" ht="15.75" x14ac:dyDescent="0.25">
      <c r="A57" s="62" t="s">
        <v>26</v>
      </c>
      <c r="B57" s="57"/>
      <c r="C57" s="42">
        <v>-1774587</v>
      </c>
      <c r="D57" s="40">
        <f>C57+1774587-1199710</f>
        <v>-1199710</v>
      </c>
      <c r="E57" s="42">
        <v>-1199710</v>
      </c>
      <c r="F57" s="42">
        <v>-1097830</v>
      </c>
      <c r="G57" s="40">
        <f t="shared" si="10"/>
        <v>0</v>
      </c>
    </row>
    <row r="58" spans="1:8" ht="15.75" x14ac:dyDescent="0.25">
      <c r="A58" s="62"/>
      <c r="B58" s="57" t="s">
        <v>8</v>
      </c>
      <c r="C58" s="42">
        <v>0</v>
      </c>
      <c r="D58" s="40">
        <f t="shared" si="11"/>
        <v>0</v>
      </c>
      <c r="E58" s="42">
        <v>0</v>
      </c>
      <c r="F58" s="42">
        <v>-15844</v>
      </c>
      <c r="G58" s="40">
        <f t="shared" si="10"/>
        <v>0</v>
      </c>
    </row>
    <row r="59" spans="1:8" ht="15.75" x14ac:dyDescent="0.25">
      <c r="A59" s="62" t="s">
        <v>27</v>
      </c>
      <c r="B59" s="57"/>
      <c r="C59" s="42">
        <v>-28207433</v>
      </c>
      <c r="D59" s="40">
        <f>C59+2301727+333521+230012-8368319</f>
        <v>-33710492</v>
      </c>
      <c r="E59" s="42">
        <f>-11421482-14046341</f>
        <v>-25467823</v>
      </c>
      <c r="F59" s="42">
        <f>-22081969+33228</f>
        <v>-22048741</v>
      </c>
      <c r="G59" s="40">
        <f t="shared" si="10"/>
        <v>8242669</v>
      </c>
    </row>
    <row r="60" spans="1:8" ht="15.75" x14ac:dyDescent="0.25">
      <c r="A60" s="50"/>
      <c r="B60" s="57" t="s">
        <v>8</v>
      </c>
      <c r="C60" s="42">
        <v>-14773254</v>
      </c>
      <c r="D60" s="40">
        <f>C60+2301727+333521-8095006</f>
        <v>-20233012</v>
      </c>
      <c r="E60" s="42">
        <v>-10635390</v>
      </c>
      <c r="F60" s="42">
        <f>-8393949+33228</f>
        <v>-8360721</v>
      </c>
      <c r="G60" s="40">
        <f t="shared" si="10"/>
        <v>9597622</v>
      </c>
    </row>
    <row r="61" spans="1:8" ht="15.75" x14ac:dyDescent="0.25">
      <c r="A61" s="63" t="s">
        <v>28</v>
      </c>
      <c r="B61" s="49"/>
      <c r="C61" s="41">
        <f>C63+C65+C67</f>
        <v>-59876494</v>
      </c>
      <c r="D61" s="41">
        <f>D63+D65+D67</f>
        <v>-68157329</v>
      </c>
      <c r="E61" s="41">
        <f t="shared" ref="E61:G62" si="12">E63+E65+E67</f>
        <v>-51995048</v>
      </c>
      <c r="F61" s="41">
        <f t="shared" si="12"/>
        <v>-49068563</v>
      </c>
      <c r="G61" s="41">
        <f>G63+G65+G67</f>
        <v>16162281</v>
      </c>
      <c r="H61" s="37"/>
    </row>
    <row r="62" spans="1:8" ht="15.75" x14ac:dyDescent="0.25">
      <c r="A62" s="60"/>
      <c r="B62" s="57" t="s">
        <v>8</v>
      </c>
      <c r="C62" s="42">
        <f>C64+C66+C68</f>
        <v>-55990174</v>
      </c>
      <c r="D62" s="42">
        <f>D64+D66+D68</f>
        <v>-64271009</v>
      </c>
      <c r="E62" s="42">
        <f t="shared" si="12"/>
        <v>-48194434</v>
      </c>
      <c r="F62" s="42">
        <f t="shared" si="12"/>
        <v>-44669763</v>
      </c>
      <c r="G62" s="42">
        <f t="shared" si="12"/>
        <v>16076575</v>
      </c>
      <c r="H62" s="37"/>
    </row>
    <row r="63" spans="1:8" ht="15.75" x14ac:dyDescent="0.25">
      <c r="A63" s="62" t="s">
        <v>29</v>
      </c>
      <c r="B63" s="59"/>
      <c r="C63" s="42">
        <v>-42257982</v>
      </c>
      <c r="D63" s="40">
        <f>C63-2124000+85487+2124000-5524679</f>
        <v>-47697174</v>
      </c>
      <c r="E63" s="40">
        <f>-40859190-3800614</f>
        <v>-44659804</v>
      </c>
      <c r="F63" s="40">
        <v>-43679587</v>
      </c>
      <c r="G63" s="40">
        <f t="shared" ref="G63:G68" si="13">E63-D63</f>
        <v>3037370</v>
      </c>
    </row>
    <row r="64" spans="1:8" ht="15.75" x14ac:dyDescent="0.25">
      <c r="A64" s="62"/>
      <c r="B64" s="57" t="s">
        <v>8</v>
      </c>
      <c r="C64" s="42">
        <v>-38371662</v>
      </c>
      <c r="D64" s="40">
        <f>C64-2124000+85487+2124000-5524679</f>
        <v>-43810854</v>
      </c>
      <c r="E64" s="40">
        <v>-40859190</v>
      </c>
      <c r="F64" s="40">
        <v>-39297292</v>
      </c>
      <c r="G64" s="40">
        <f t="shared" si="13"/>
        <v>2951664</v>
      </c>
    </row>
    <row r="65" spans="1:10" ht="15.75" x14ac:dyDescent="0.25">
      <c r="A65" s="62" t="s">
        <v>30</v>
      </c>
      <c r="B65" s="50"/>
      <c r="C65" s="42">
        <v>-279403</v>
      </c>
      <c r="D65" s="40">
        <f>C65-30000</f>
        <v>-309403</v>
      </c>
      <c r="E65" s="42">
        <v>-309403</v>
      </c>
      <c r="F65" s="42">
        <v>-202917</v>
      </c>
      <c r="G65" s="40">
        <f t="shared" si="13"/>
        <v>0</v>
      </c>
    </row>
    <row r="66" spans="1:10" ht="15.75" x14ac:dyDescent="0.25">
      <c r="A66" s="62"/>
      <c r="B66" s="57" t="s">
        <v>8</v>
      </c>
      <c r="C66" s="42">
        <v>-279403</v>
      </c>
      <c r="D66" s="40">
        <f>C66-30000</f>
        <v>-309403</v>
      </c>
      <c r="E66" s="42">
        <v>-309403</v>
      </c>
      <c r="F66" s="42">
        <v>-202917</v>
      </c>
      <c r="G66" s="40">
        <f t="shared" si="13"/>
        <v>0</v>
      </c>
    </row>
    <row r="67" spans="1:10" ht="15.75" x14ac:dyDescent="0.25">
      <c r="A67" s="62" t="s">
        <v>31</v>
      </c>
      <c r="B67" s="57"/>
      <c r="C67" s="42">
        <v>-17339109</v>
      </c>
      <c r="D67" s="40">
        <f>C67+20000-2124000-707643</f>
        <v>-20150752</v>
      </c>
      <c r="E67" s="42">
        <v>-7025841</v>
      </c>
      <c r="F67" s="42">
        <v>-5186059</v>
      </c>
      <c r="G67" s="40">
        <f t="shared" si="13"/>
        <v>13124911</v>
      </c>
    </row>
    <row r="68" spans="1:10" ht="15.75" x14ac:dyDescent="0.25">
      <c r="A68" s="64"/>
      <c r="B68" s="57" t="s">
        <v>8</v>
      </c>
      <c r="C68" s="42">
        <v>-17339109</v>
      </c>
      <c r="D68" s="40">
        <f>C68+20000-2124000-707643</f>
        <v>-20150752</v>
      </c>
      <c r="E68" s="42">
        <v>-7025841</v>
      </c>
      <c r="F68" s="42">
        <v>-5169554</v>
      </c>
      <c r="G68" s="40">
        <f t="shared" si="13"/>
        <v>13124911</v>
      </c>
    </row>
    <row r="69" spans="1:10" ht="15.75" x14ac:dyDescent="0.25">
      <c r="A69" s="49" t="s">
        <v>32</v>
      </c>
      <c r="B69" s="55"/>
      <c r="C69" s="41">
        <v>-2143374</v>
      </c>
      <c r="D69" s="41">
        <f>C69+65428-192169.05</f>
        <v>-2270115.0499999998</v>
      </c>
      <c r="E69" s="41">
        <v>-2221502.1800000002</v>
      </c>
      <c r="F69" s="41">
        <v>-3364867.02</v>
      </c>
      <c r="G69" s="39">
        <f>E69-D69</f>
        <v>48612.869999999646</v>
      </c>
      <c r="H69" s="37"/>
      <c r="I69" s="48"/>
    </row>
    <row r="70" spans="1:10" ht="15.75" x14ac:dyDescent="0.25">
      <c r="A70" s="49" t="s">
        <v>33</v>
      </c>
      <c r="B70" s="55"/>
      <c r="C70" s="41">
        <v>-136000</v>
      </c>
      <c r="D70" s="41">
        <f>C70-39655.65-32644.24</f>
        <v>-208299.88999999998</v>
      </c>
      <c r="E70" s="41">
        <f>-164285.02-22434</f>
        <v>-186719.02</v>
      </c>
      <c r="F70" s="41">
        <f>-433374.47-43915.51</f>
        <v>-477289.98</v>
      </c>
      <c r="G70" s="39">
        <f>E70-D70</f>
        <v>21580.869999999995</v>
      </c>
      <c r="H70" s="37"/>
      <c r="I70" s="48"/>
      <c r="J70" s="37"/>
    </row>
    <row r="71" spans="1:10" ht="15.75" x14ac:dyDescent="0.25">
      <c r="A71" s="50"/>
      <c r="B71" s="57" t="s">
        <v>8</v>
      </c>
      <c r="C71" s="42">
        <v>-136000</v>
      </c>
      <c r="D71" s="40">
        <f>C71-39655.65</f>
        <v>-175655.65</v>
      </c>
      <c r="E71" s="42">
        <v>-132705.65</v>
      </c>
      <c r="F71" s="42">
        <v>-168532.35</v>
      </c>
      <c r="G71" s="40">
        <f t="shared" ref="G71:G72" si="14">E71-D71</f>
        <v>42950</v>
      </c>
    </row>
    <row r="72" spans="1:10" ht="15.75" x14ac:dyDescent="0.25">
      <c r="A72" s="50"/>
      <c r="B72" s="57" t="s">
        <v>34</v>
      </c>
      <c r="C72" s="42">
        <v>0</v>
      </c>
      <c r="D72" s="40">
        <v>-1064.8699999999999</v>
      </c>
      <c r="E72" s="42">
        <v>-22434</v>
      </c>
      <c r="F72" s="42">
        <v>-43915.51</v>
      </c>
      <c r="G72" s="40">
        <f t="shared" si="14"/>
        <v>-21369.13</v>
      </c>
    </row>
    <row r="73" spans="1:10" ht="15.75" x14ac:dyDescent="0.25">
      <c r="A73" s="65" t="s">
        <v>35</v>
      </c>
      <c r="B73" s="65"/>
      <c r="C73" s="39"/>
      <c r="D73" s="39"/>
      <c r="E73" s="39">
        <f t="shared" ref="E73:F73" si="15">SUM(E74:E84)</f>
        <v>40495885.859999999</v>
      </c>
      <c r="F73" s="39">
        <f t="shared" si="15"/>
        <v>37625645.25</v>
      </c>
      <c r="G73" s="39"/>
    </row>
    <row r="74" spans="1:10" ht="15.75" x14ac:dyDescent="0.25">
      <c r="A74" s="66"/>
      <c r="B74" s="67" t="s">
        <v>36</v>
      </c>
      <c r="C74" s="40"/>
      <c r="D74" s="40"/>
      <c r="E74" s="40">
        <v>37898065.979999997</v>
      </c>
      <c r="F74" s="40">
        <v>39077535.280000001</v>
      </c>
      <c r="G74" s="40"/>
      <c r="I74" s="48"/>
    </row>
    <row r="75" spans="1:10" ht="15.75" x14ac:dyDescent="0.25">
      <c r="A75" s="66"/>
      <c r="B75" s="67" t="s">
        <v>37</v>
      </c>
      <c r="C75" s="40"/>
      <c r="D75" s="40"/>
      <c r="E75" s="40">
        <f>-37898065.98--40944474</f>
        <v>3046408.0200000033</v>
      </c>
      <c r="F75" s="40">
        <f>-39077535.28--39479026.29</f>
        <v>401491.00999999791</v>
      </c>
      <c r="G75" s="40"/>
    </row>
    <row r="76" spans="1:10" ht="15.75" x14ac:dyDescent="0.25">
      <c r="A76" s="66"/>
      <c r="B76" s="57" t="s">
        <v>38</v>
      </c>
      <c r="C76" s="40"/>
      <c r="D76" s="20"/>
      <c r="E76" s="40">
        <v>4826.3999999999996</v>
      </c>
      <c r="F76" s="40">
        <v>73758.850000000006</v>
      </c>
      <c r="G76" s="54"/>
    </row>
    <row r="77" spans="1:10" ht="15.75" hidden="1" x14ac:dyDescent="0.25">
      <c r="A77" s="66"/>
      <c r="B77" s="57" t="s">
        <v>39</v>
      </c>
      <c r="C77" s="40"/>
      <c r="D77" s="20"/>
      <c r="E77" s="40">
        <v>0</v>
      </c>
      <c r="F77" s="40">
        <v>0</v>
      </c>
      <c r="G77" s="54"/>
    </row>
    <row r="78" spans="1:10" ht="15.75" x14ac:dyDescent="0.25">
      <c r="A78" s="66"/>
      <c r="B78" s="57" t="s">
        <v>40</v>
      </c>
      <c r="C78" s="40"/>
      <c r="D78" s="20"/>
      <c r="E78" s="40">
        <v>58950.239999999998</v>
      </c>
      <c r="F78" s="40">
        <v>154263.46</v>
      </c>
      <c r="G78" s="54"/>
    </row>
    <row r="79" spans="1:10" ht="15.75" hidden="1" x14ac:dyDescent="0.25">
      <c r="A79" s="66"/>
      <c r="B79" s="57" t="s">
        <v>41</v>
      </c>
      <c r="C79" s="40"/>
      <c r="D79" s="20"/>
      <c r="E79" s="40">
        <v>0</v>
      </c>
      <c r="F79" s="40">
        <v>0</v>
      </c>
      <c r="G79" s="54"/>
    </row>
    <row r="80" spans="1:10" ht="15.75" x14ac:dyDescent="0.25">
      <c r="A80" s="66"/>
      <c r="B80" s="57" t="s">
        <v>42</v>
      </c>
      <c r="C80" s="40"/>
      <c r="D80" s="20"/>
      <c r="E80" s="40">
        <v>1094040</v>
      </c>
      <c r="F80" s="40">
        <v>0</v>
      </c>
      <c r="G80" s="54"/>
    </row>
    <row r="81" spans="1:7" ht="15.75" x14ac:dyDescent="0.25">
      <c r="A81" s="66"/>
      <c r="B81" s="57" t="s">
        <v>43</v>
      </c>
      <c r="C81" s="40"/>
      <c r="D81" s="20"/>
      <c r="E81" s="40">
        <v>-1100000</v>
      </c>
      <c r="F81" s="40">
        <v>0</v>
      </c>
      <c r="G81" s="54"/>
    </row>
    <row r="82" spans="1:7" ht="15.75" x14ac:dyDescent="0.25">
      <c r="A82" s="66"/>
      <c r="B82" s="57" t="s">
        <v>44</v>
      </c>
      <c r="C82" s="40"/>
      <c r="D82" s="20"/>
      <c r="E82" s="40">
        <v>1378.82</v>
      </c>
      <c r="F82" s="40">
        <v>147.80000000000001</v>
      </c>
      <c r="G82" s="54"/>
    </row>
    <row r="83" spans="1:7" ht="15.75" x14ac:dyDescent="0.25">
      <c r="A83" s="66"/>
      <c r="B83" s="57" t="s">
        <v>45</v>
      </c>
      <c r="C83" s="40"/>
      <c r="D83" s="20"/>
      <c r="E83" s="40">
        <v>-1378.82</v>
      </c>
      <c r="F83" s="40">
        <v>-147.80000000000001</v>
      </c>
      <c r="G83" s="54"/>
    </row>
    <row r="84" spans="1:7" ht="15.75" x14ac:dyDescent="0.25">
      <c r="A84" s="66"/>
      <c r="B84" s="57" t="s">
        <v>46</v>
      </c>
      <c r="C84" s="40"/>
      <c r="D84" s="20"/>
      <c r="E84" s="40">
        <v>-506404.78</v>
      </c>
      <c r="F84" s="40">
        <v>-2081403.35</v>
      </c>
      <c r="G84" s="54"/>
    </row>
    <row r="85" spans="1:7" ht="15.75" hidden="1" x14ac:dyDescent="0.25">
      <c r="A85" s="2" t="s">
        <v>47</v>
      </c>
      <c r="B85" s="3"/>
      <c r="C85" s="4"/>
      <c r="D85" s="5"/>
      <c r="E85" s="1"/>
      <c r="F85" s="1"/>
      <c r="G85" s="6"/>
    </row>
    <row r="86" spans="1:7" ht="15.75" hidden="1" x14ac:dyDescent="0.25">
      <c r="A86" s="7" t="s">
        <v>48</v>
      </c>
      <c r="B86" s="7"/>
      <c r="C86" s="4"/>
      <c r="D86" s="8"/>
      <c r="E86" s="1"/>
      <c r="F86" s="1"/>
      <c r="G86" s="6"/>
    </row>
    <row r="87" spans="1:7" ht="15.75" hidden="1" x14ac:dyDescent="0.25">
      <c r="A87" s="9"/>
      <c r="B87" s="2" t="s">
        <v>49</v>
      </c>
      <c r="C87" s="4">
        <v>0</v>
      </c>
      <c r="D87" s="4">
        <f>-90125009.52-12500861-10135477.59+13451720+30000+15680+86679+3185258+2031651+576972+508647+6241+2672592+6546815+1898156+64899443+227100+310614+1199710+8368319+707643+5524679+464646+48777+10-3-1</f>
        <v>-0.10999999940395355</v>
      </c>
      <c r="E87" s="4">
        <f>-40944474-319337346.53-1230622.23+651518.67+1378.82-779877.2+40859190+309403+7025841+11204823+70181+2215146+5867760+45278237+13166286+14959205+3046014+362159+47333330+44657616+11347014+55305819+224021+4856454+1199710+11421482-531-16852+3446937+3800614+936423+2865152+3040491+3625275+3625275+3449936+2105029+14046341+5641</f>
        <v>-0.46999996900558472</v>
      </c>
      <c r="F87" s="4">
        <v>0</v>
      </c>
      <c r="G87" s="10">
        <f>E87-D87</f>
        <v>-0.35999996960163116</v>
      </c>
    </row>
    <row r="88" spans="1:7" ht="15.75" hidden="1" x14ac:dyDescent="0.25">
      <c r="A88" s="9"/>
      <c r="B88" s="11" t="s">
        <v>8</v>
      </c>
      <c r="C88" s="12">
        <v>0</v>
      </c>
      <c r="D88" s="12">
        <f>-41914722.13-12500861-12087.4+11345602+30000+15680+22890+3185258+2031651+569686+460985+6241+2672592+6546815+1648812+11087859+227100+249163+8095006+707643+5524679+10-1</f>
        <v>0.4699999988079071</v>
      </c>
      <c r="E88" s="13">
        <f>-306467996.21-779877.2+40859190+309403+7025841+9787114+70181+289890+5772264+45278237+13166286+14959205+3022014+362159+47333330+44657616+11197074+47464606+224021+4811450+10635390+34347-531-16852+5641-2.5</f>
        <v>9.0000033378601074E-2</v>
      </c>
      <c r="F88" s="13">
        <v>0</v>
      </c>
      <c r="G88" s="13">
        <f>E88-D88</f>
        <v>-0.37999996542930603</v>
      </c>
    </row>
    <row r="89" spans="1:7" ht="15.75" hidden="1" x14ac:dyDescent="0.25">
      <c r="A89" s="9"/>
      <c r="B89" s="2" t="s">
        <v>50</v>
      </c>
      <c r="C89" s="4">
        <v>0</v>
      </c>
      <c r="D89" s="4">
        <v>0</v>
      </c>
      <c r="E89" s="4">
        <v>0</v>
      </c>
      <c r="F89" s="4">
        <v>0</v>
      </c>
      <c r="G89" s="10">
        <f>E89-D89</f>
        <v>0</v>
      </c>
    </row>
    <row r="90" spans="1:7" ht="15.75" hidden="1" x14ac:dyDescent="0.25">
      <c r="A90" s="9"/>
      <c r="B90" s="11" t="s">
        <v>8</v>
      </c>
      <c r="C90" s="12">
        <v>0</v>
      </c>
      <c r="D90" s="12">
        <v>0</v>
      </c>
      <c r="E90" s="12">
        <v>0</v>
      </c>
      <c r="F90" s="12">
        <v>0</v>
      </c>
      <c r="G90" s="13">
        <f>E90-D90</f>
        <v>0</v>
      </c>
    </row>
    <row r="91" spans="1:7" ht="15.75" hidden="1" x14ac:dyDescent="0.25">
      <c r="A91" s="14"/>
      <c r="B91" s="9" t="s">
        <v>51</v>
      </c>
      <c r="C91" s="12"/>
      <c r="D91" s="15"/>
      <c r="E91" s="1">
        <f>E7+E13+E72+E73-E81</f>
        <v>-312078153.80999994</v>
      </c>
      <c r="F91" s="1">
        <f>F7+F13+F72+F73</f>
        <v>-279646893.90999997</v>
      </c>
      <c r="G91" s="6"/>
    </row>
    <row r="92" spans="1:7" ht="15.75" hidden="1" x14ac:dyDescent="0.25">
      <c r="A92" s="14"/>
      <c r="B92" s="9" t="s">
        <v>52</v>
      </c>
      <c r="C92" s="12"/>
      <c r="D92" s="15"/>
      <c r="E92" s="1">
        <v>-312078153.82999998</v>
      </c>
      <c r="F92" s="1">
        <v>-279646941.33999997</v>
      </c>
      <c r="G92" s="6"/>
    </row>
    <row r="93" spans="1:7" ht="15.75" hidden="1" x14ac:dyDescent="0.25">
      <c r="E93" s="1">
        <f>E91-E92</f>
        <v>2.0000040531158447E-2</v>
      </c>
    </row>
  </sheetData>
  <phoneticPr fontId="18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CC3A9-F64A-4189-B700-2520E31F8169}">
  <dimension ref="A1:E36"/>
  <sheetViews>
    <sheetView workbookViewId="0">
      <selection activeCell="J24" sqref="J24"/>
    </sheetView>
  </sheetViews>
  <sheetFormatPr defaultRowHeight="15" x14ac:dyDescent="0.25"/>
  <cols>
    <col min="1" max="1" width="81" bestFit="1" customWidth="1"/>
    <col min="2" max="2" width="11.42578125" customWidth="1"/>
    <col min="3" max="3" width="17.42578125" customWidth="1"/>
    <col min="4" max="4" width="0" hidden="1" customWidth="1"/>
    <col min="5" max="5" width="20.85546875" hidden="1" customWidth="1"/>
  </cols>
  <sheetData>
    <row r="1" spans="1:5" ht="15.75" x14ac:dyDescent="0.25">
      <c r="A1" s="21" t="s">
        <v>60</v>
      </c>
    </row>
    <row r="2" spans="1:5" ht="15.75" x14ac:dyDescent="0.25">
      <c r="A2" s="21" t="s">
        <v>61</v>
      </c>
    </row>
    <row r="3" spans="1:5" x14ac:dyDescent="0.25">
      <c r="A3" s="22" t="s">
        <v>53</v>
      </c>
    </row>
    <row r="4" spans="1:5" x14ac:dyDescent="0.25">
      <c r="A4" s="23"/>
      <c r="B4" s="24">
        <v>11</v>
      </c>
      <c r="C4" s="24">
        <v>11</v>
      </c>
      <c r="D4">
        <v>11</v>
      </c>
      <c r="E4">
        <v>11</v>
      </c>
    </row>
    <row r="5" spans="1:5" ht="38.25" x14ac:dyDescent="0.25">
      <c r="A5" s="25"/>
      <c r="B5" s="26" t="s">
        <v>62</v>
      </c>
      <c r="C5" s="26" t="s">
        <v>63</v>
      </c>
      <c r="D5" t="s">
        <v>62</v>
      </c>
      <c r="E5" t="s">
        <v>64</v>
      </c>
    </row>
    <row r="6" spans="1:5" x14ac:dyDescent="0.25">
      <c r="A6" s="68" t="s">
        <v>65</v>
      </c>
      <c r="B6" s="29">
        <f>RETA!C7</f>
        <v>7872819</v>
      </c>
      <c r="C6" s="29">
        <f>RETA!C13+RETA!C70</f>
        <v>-364262324</v>
      </c>
      <c r="D6" s="29">
        <v>7872819</v>
      </c>
      <c r="E6" s="29">
        <v>-364262324</v>
      </c>
    </row>
    <row r="7" spans="1:5" x14ac:dyDescent="0.25">
      <c r="A7" s="68" t="s">
        <v>66</v>
      </c>
      <c r="B7" s="29"/>
      <c r="C7" s="29">
        <v>-90164665</v>
      </c>
      <c r="D7" s="29"/>
      <c r="E7" s="29">
        <v>-90164665.170000002</v>
      </c>
    </row>
    <row r="8" spans="1:5" x14ac:dyDescent="0.25">
      <c r="A8" s="68" t="s">
        <v>67</v>
      </c>
      <c r="B8" s="29"/>
      <c r="C8" s="29">
        <v>-72010</v>
      </c>
      <c r="D8" s="29"/>
      <c r="E8" s="29">
        <v>-72010</v>
      </c>
    </row>
    <row r="9" spans="1:5" x14ac:dyDescent="0.25">
      <c r="A9" s="68" t="s">
        <v>68</v>
      </c>
      <c r="B9" s="29"/>
      <c r="C9" s="29"/>
      <c r="D9" s="29"/>
      <c r="E9" s="29"/>
    </row>
    <row r="10" spans="1:5" x14ac:dyDescent="0.25">
      <c r="A10" s="68" t="s">
        <v>69</v>
      </c>
      <c r="B10" s="29"/>
      <c r="C10" s="29"/>
      <c r="D10" s="29"/>
      <c r="E10" s="29"/>
    </row>
    <row r="11" spans="1:5" x14ac:dyDescent="0.25">
      <c r="A11" s="68" t="s">
        <v>70</v>
      </c>
      <c r="B11" s="29"/>
      <c r="C11" s="29">
        <v>69546</v>
      </c>
      <c r="D11" s="29"/>
      <c r="E11" s="29">
        <v>69546</v>
      </c>
    </row>
    <row r="12" spans="1:5" x14ac:dyDescent="0.25">
      <c r="A12" s="69" t="s">
        <v>71</v>
      </c>
      <c r="B12" s="29"/>
      <c r="C12" s="29"/>
      <c r="D12" s="29"/>
      <c r="E12" s="29"/>
    </row>
    <row r="13" spans="1:5" x14ac:dyDescent="0.25">
      <c r="A13" s="69" t="s">
        <v>72</v>
      </c>
      <c r="B13" s="29"/>
      <c r="C13" s="29">
        <v>-9500861</v>
      </c>
      <c r="D13" s="29"/>
      <c r="E13" s="29">
        <v>-9500861</v>
      </c>
    </row>
    <row r="14" spans="1:5" x14ac:dyDescent="0.25">
      <c r="A14" s="69" t="s">
        <v>73</v>
      </c>
      <c r="B14" s="29"/>
      <c r="C14" s="29"/>
      <c r="D14" s="29"/>
      <c r="E14" s="29"/>
    </row>
    <row r="15" spans="1:5" x14ac:dyDescent="0.25">
      <c r="A15" s="68" t="s">
        <v>74</v>
      </c>
      <c r="B15" s="29"/>
      <c r="C15" s="30">
        <v>5660888</v>
      </c>
      <c r="D15" s="29"/>
      <c r="E15" s="30">
        <v>5660888</v>
      </c>
    </row>
    <row r="16" spans="1:5" x14ac:dyDescent="0.25">
      <c r="A16" s="68" t="s">
        <v>75</v>
      </c>
      <c r="B16" s="29"/>
      <c r="C16" s="30">
        <v>-6665619.2199999997</v>
      </c>
      <c r="D16" s="29"/>
      <c r="E16" s="30">
        <v>-6665619.2199999997</v>
      </c>
    </row>
    <row r="17" spans="1:5" x14ac:dyDescent="0.25">
      <c r="A17" s="68" t="s">
        <v>76</v>
      </c>
      <c r="B17" s="29"/>
      <c r="C17" s="30">
        <f>127500+6703697-5660888</f>
        <v>1170309</v>
      </c>
      <c r="D17" s="29"/>
      <c r="E17" s="30">
        <v>1170309</v>
      </c>
    </row>
    <row r="18" spans="1:5" x14ac:dyDescent="0.25">
      <c r="A18" s="68" t="s">
        <v>77</v>
      </c>
      <c r="B18" s="29"/>
      <c r="C18" s="30">
        <v>-572610.21</v>
      </c>
      <c r="D18" s="29"/>
      <c r="E18" s="30">
        <v>-572610.21</v>
      </c>
    </row>
    <row r="19" spans="1:5" x14ac:dyDescent="0.25">
      <c r="A19" s="68" t="s">
        <v>78</v>
      </c>
      <c r="B19" s="29"/>
      <c r="C19" s="30"/>
      <c r="D19" s="29"/>
      <c r="E19" s="30"/>
    </row>
    <row r="20" spans="1:5" x14ac:dyDescent="0.25">
      <c r="A20" s="68" t="s">
        <v>79</v>
      </c>
      <c r="B20" s="29"/>
      <c r="C20" s="30"/>
      <c r="D20" s="29"/>
      <c r="E20" s="30"/>
    </row>
    <row r="21" spans="1:5" x14ac:dyDescent="0.25">
      <c r="A21" s="68" t="s">
        <v>80</v>
      </c>
      <c r="B21" s="29"/>
      <c r="C21" s="30"/>
      <c r="D21" s="29"/>
      <c r="E21" s="30"/>
    </row>
    <row r="22" spans="1:5" x14ac:dyDescent="0.25">
      <c r="A22" s="68" t="s">
        <v>81</v>
      </c>
      <c r="B22" s="29"/>
      <c r="C22" s="30">
        <v>2061757</v>
      </c>
      <c r="D22" s="29"/>
      <c r="E22" s="30">
        <v>2061757</v>
      </c>
    </row>
    <row r="23" spans="1:5" x14ac:dyDescent="0.25">
      <c r="A23" s="68" t="s">
        <v>82</v>
      </c>
      <c r="B23" s="29"/>
      <c r="C23" s="30">
        <v>-3122061.45</v>
      </c>
      <c r="D23" s="29"/>
      <c r="E23" s="30">
        <v>-3122061.45</v>
      </c>
    </row>
    <row r="24" spans="1:5" x14ac:dyDescent="0.25">
      <c r="A24" s="68" t="s">
        <v>83</v>
      </c>
      <c r="B24" s="29"/>
      <c r="C24" s="30"/>
      <c r="D24" s="29"/>
      <c r="E24" s="30"/>
    </row>
    <row r="25" spans="1:5" x14ac:dyDescent="0.25">
      <c r="A25" s="68" t="s">
        <v>84</v>
      </c>
      <c r="B25" s="29"/>
      <c r="C25" s="30"/>
      <c r="D25" s="29"/>
      <c r="E25" s="30"/>
    </row>
    <row r="26" spans="1:5" x14ac:dyDescent="0.25">
      <c r="A26" s="68" t="s">
        <v>85</v>
      </c>
      <c r="B26" s="29"/>
      <c r="C26" s="30"/>
      <c r="D26" s="29"/>
      <c r="E26" s="30"/>
    </row>
    <row r="27" spans="1:5" x14ac:dyDescent="0.25">
      <c r="A27" s="68" t="s">
        <v>86</v>
      </c>
      <c r="B27" s="29"/>
      <c r="C27" s="30"/>
      <c r="D27" s="29"/>
      <c r="E27" s="30"/>
    </row>
    <row r="28" spans="1:5" x14ac:dyDescent="0.25">
      <c r="A28" s="68" t="s">
        <v>87</v>
      </c>
      <c r="B28" s="29"/>
      <c r="C28" s="29"/>
      <c r="D28" s="29"/>
      <c r="E28" s="29"/>
    </row>
    <row r="29" spans="1:5" x14ac:dyDescent="0.25">
      <c r="A29" s="68" t="s">
        <v>88</v>
      </c>
      <c r="B29" s="29"/>
      <c r="C29" s="29"/>
      <c r="D29" s="29"/>
      <c r="E29" s="29"/>
    </row>
    <row r="30" spans="1:5" x14ac:dyDescent="0.25">
      <c r="A30" s="68" t="s">
        <v>89</v>
      </c>
      <c r="B30" s="29"/>
      <c r="C30" s="29"/>
      <c r="D30" s="29"/>
      <c r="E30" s="29"/>
    </row>
    <row r="31" spans="1:5" x14ac:dyDescent="0.25">
      <c r="A31" s="68" t="s">
        <v>90</v>
      </c>
      <c r="B31" s="29"/>
      <c r="C31" s="29"/>
      <c r="D31" s="29"/>
      <c r="E31" s="29"/>
    </row>
    <row r="32" spans="1:5" x14ac:dyDescent="0.25">
      <c r="A32" s="68" t="s">
        <v>91</v>
      </c>
      <c r="B32" s="29"/>
      <c r="C32" s="29"/>
      <c r="D32" s="29"/>
      <c r="E32" s="29"/>
    </row>
    <row r="33" spans="1:5" x14ac:dyDescent="0.25">
      <c r="A33" s="27" t="s">
        <v>92</v>
      </c>
      <c r="B33" s="29"/>
      <c r="C33" s="29">
        <v>-3000000</v>
      </c>
      <c r="D33" s="29"/>
      <c r="E33" s="29">
        <v>-3000000</v>
      </c>
    </row>
    <row r="34" spans="1:5" x14ac:dyDescent="0.25">
      <c r="A34" s="28" t="s">
        <v>93</v>
      </c>
      <c r="B34" s="31">
        <f t="shared" ref="B34:C34" si="0">SUM(B6:B33)</f>
        <v>7872819</v>
      </c>
      <c r="C34" s="31">
        <f t="shared" si="0"/>
        <v>-468397650.88</v>
      </c>
      <c r="D34" s="31">
        <v>7872819</v>
      </c>
      <c r="E34" s="31">
        <v>-468397651.05000001</v>
      </c>
    </row>
    <row r="35" spans="1:5" x14ac:dyDescent="0.25">
      <c r="B35" s="70">
        <f>RETA!C7</f>
        <v>7872819</v>
      </c>
      <c r="C35" s="70">
        <f>RETA!D13+RETA!D70</f>
        <v>-468397651.05000001</v>
      </c>
      <c r="D35" s="32">
        <v>7872819</v>
      </c>
      <c r="E35" s="32">
        <v>-468397651.05000001</v>
      </c>
    </row>
    <row r="36" spans="1:5" x14ac:dyDescent="0.25">
      <c r="B36" s="70">
        <f t="shared" ref="B36:C36" si="1">B34-B35</f>
        <v>0</v>
      </c>
      <c r="C36" s="70">
        <f t="shared" si="1"/>
        <v>0.17000001668930054</v>
      </c>
      <c r="D36" s="32">
        <v>0</v>
      </c>
      <c r="E36" s="3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799F-4869-4BC5-8BA8-E08B37C8C076}">
  <dimension ref="A1:I20"/>
  <sheetViews>
    <sheetView workbookViewId="0">
      <selection activeCell="C25" sqref="C25"/>
    </sheetView>
  </sheetViews>
  <sheetFormatPr defaultRowHeight="15" x14ac:dyDescent="0.25"/>
  <cols>
    <col min="1" max="1" width="53.140625" bestFit="1" customWidth="1"/>
    <col min="2" max="2" width="14.28515625" bestFit="1" customWidth="1"/>
    <col min="3" max="3" width="14" customWidth="1"/>
    <col min="4" max="4" width="9.42578125" bestFit="1" customWidth="1"/>
    <col min="5" max="5" width="14.28515625" hidden="1" customWidth="1"/>
    <col min="6" max="6" width="14.28515625" bestFit="1" customWidth="1"/>
    <col min="7" max="7" width="13.42578125" customWidth="1"/>
    <col min="8" max="8" width="9.42578125" bestFit="1" customWidth="1"/>
    <col min="9" max="9" width="47.42578125" bestFit="1" customWidth="1"/>
    <col min="10" max="10" width="7.5703125" bestFit="1" customWidth="1"/>
  </cols>
  <sheetData>
    <row r="1" spans="1:9" s="17" customFormat="1" ht="15.75" x14ac:dyDescent="0.25">
      <c r="A1" s="21" t="s">
        <v>94</v>
      </c>
      <c r="B1" s="33"/>
      <c r="C1" s="33"/>
      <c r="D1" s="33"/>
      <c r="E1" s="34"/>
      <c r="F1" s="35"/>
      <c r="G1" s="35"/>
      <c r="H1" s="36"/>
    </row>
    <row r="2" spans="1:9" s="17" customFormat="1" ht="15.75" x14ac:dyDescent="0.25">
      <c r="A2" s="21" t="s">
        <v>95</v>
      </c>
      <c r="B2" s="33"/>
      <c r="C2" s="33"/>
      <c r="D2" s="33"/>
      <c r="E2" s="34"/>
      <c r="F2" s="35"/>
      <c r="G2" s="35"/>
      <c r="H2" s="36"/>
    </row>
    <row r="3" spans="1:9" s="17" customFormat="1" x14ac:dyDescent="0.25">
      <c r="A3" s="22" t="s">
        <v>53</v>
      </c>
      <c r="B3" s="33"/>
      <c r="C3" s="33"/>
      <c r="D3" s="33"/>
      <c r="E3" s="34"/>
      <c r="F3" s="35"/>
      <c r="G3" s="35"/>
      <c r="H3" s="36"/>
    </row>
    <row r="4" spans="1:9" s="77" customFormat="1" x14ac:dyDescent="0.25">
      <c r="A4" s="71"/>
      <c r="B4" s="78">
        <f t="shared" ref="B4:F4" si="0">SUBTOTAL(9,B6:B20)</f>
        <v>-313342438.82999998</v>
      </c>
      <c r="C4" s="78">
        <f t="shared" si="0"/>
        <v>-313342438.82999998</v>
      </c>
      <c r="D4" s="78">
        <f t="shared" si="0"/>
        <v>1.2107193470001221E-8</v>
      </c>
      <c r="E4" s="78">
        <f t="shared" si="0"/>
        <v>0</v>
      </c>
      <c r="F4" s="78">
        <f t="shared" si="0"/>
        <v>-280080315.81</v>
      </c>
      <c r="G4" s="78">
        <f>SUBTOTAL(9,G6:G20)</f>
        <v>-280080268.38</v>
      </c>
      <c r="H4" s="78">
        <f>SUBTOTAL(9,H6:H20)</f>
        <v>-47.429999997773848</v>
      </c>
    </row>
    <row r="5" spans="1:9" ht="25.5" x14ac:dyDescent="0.25">
      <c r="A5" s="72" t="s">
        <v>96</v>
      </c>
      <c r="B5" s="26" t="s">
        <v>114</v>
      </c>
      <c r="C5" s="26" t="s">
        <v>110</v>
      </c>
      <c r="D5" s="26" t="s">
        <v>111</v>
      </c>
      <c r="E5" s="74" t="s">
        <v>99</v>
      </c>
      <c r="F5" s="26" t="s">
        <v>115</v>
      </c>
      <c r="G5" s="26" t="s">
        <v>97</v>
      </c>
      <c r="H5" s="26" t="s">
        <v>98</v>
      </c>
      <c r="I5" s="75" t="s">
        <v>99</v>
      </c>
    </row>
    <row r="6" spans="1:9" x14ac:dyDescent="0.25">
      <c r="A6" s="68" t="s">
        <v>100</v>
      </c>
      <c r="B6" s="73">
        <v>37898065.979999997</v>
      </c>
      <c r="C6" s="73">
        <f>RETA!E74</f>
        <v>37898065.979999997</v>
      </c>
      <c r="D6" s="73">
        <f t="shared" ref="D6:D20" si="1">B6-C6</f>
        <v>0</v>
      </c>
      <c r="E6" s="73"/>
      <c r="F6" s="73">
        <v>39077535.280000001</v>
      </c>
      <c r="G6" s="73">
        <v>39077535.280000001</v>
      </c>
      <c r="H6" s="73">
        <f t="shared" ref="H6:H20" si="2">F6-G6</f>
        <v>0</v>
      </c>
      <c r="I6" s="76"/>
    </row>
    <row r="7" spans="1:9" x14ac:dyDescent="0.25">
      <c r="A7" s="68" t="s">
        <v>2</v>
      </c>
      <c r="B7" s="73">
        <v>7530</v>
      </c>
      <c r="C7" s="73">
        <f>RETA!E8</f>
        <v>7530</v>
      </c>
      <c r="D7" s="73">
        <f t="shared" si="1"/>
        <v>0</v>
      </c>
      <c r="E7" s="73"/>
      <c r="F7" s="73">
        <v>8420</v>
      </c>
      <c r="G7" s="73">
        <v>8420</v>
      </c>
      <c r="H7" s="73">
        <f t="shared" si="2"/>
        <v>0</v>
      </c>
      <c r="I7" s="76"/>
    </row>
    <row r="8" spans="1:9" x14ac:dyDescent="0.25">
      <c r="A8" s="68" t="s">
        <v>3</v>
      </c>
      <c r="B8" s="73">
        <v>3257342.47</v>
      </c>
      <c r="C8" s="73">
        <f>RETA!E9+RETA!E82</f>
        <v>3265711.52</v>
      </c>
      <c r="D8" s="73">
        <f t="shared" si="1"/>
        <v>-8369.0499999998137</v>
      </c>
      <c r="E8" s="73"/>
      <c r="F8" s="73">
        <v>2930730.05</v>
      </c>
      <c r="G8" s="73">
        <v>2943609.79</v>
      </c>
      <c r="H8" s="73">
        <f t="shared" si="2"/>
        <v>-12879.740000000224</v>
      </c>
      <c r="I8" s="76" t="s">
        <v>112</v>
      </c>
    </row>
    <row r="9" spans="1:9" x14ac:dyDescent="0.25">
      <c r="A9" s="68" t="s">
        <v>4</v>
      </c>
      <c r="B9" s="73">
        <v>6996139.6299999999</v>
      </c>
      <c r="C9" s="73">
        <f>RETA!E10+RETA!E76+RETA!E77+RETA!E78</f>
        <v>6996139.6299999999</v>
      </c>
      <c r="D9" s="73">
        <f t="shared" si="1"/>
        <v>0</v>
      </c>
      <c r="E9" s="73"/>
      <c r="F9" s="73">
        <v>8826366.0899999999</v>
      </c>
      <c r="G9" s="73">
        <v>8826366.0899999999</v>
      </c>
      <c r="H9" s="73">
        <f t="shared" si="2"/>
        <v>0</v>
      </c>
      <c r="I9" s="76"/>
    </row>
    <row r="10" spans="1:9" x14ac:dyDescent="0.25">
      <c r="A10" s="68" t="s">
        <v>101</v>
      </c>
      <c r="B10" s="73">
        <v>1094040</v>
      </c>
      <c r="C10" s="73">
        <f>RETA!E80</f>
        <v>1094040</v>
      </c>
      <c r="D10" s="73">
        <f t="shared" si="1"/>
        <v>0</v>
      </c>
      <c r="E10" s="73"/>
      <c r="F10" s="73"/>
      <c r="G10" s="73"/>
      <c r="H10" s="73"/>
      <c r="I10" s="38"/>
    </row>
    <row r="11" spans="1:9" x14ac:dyDescent="0.25">
      <c r="A11" s="68" t="s">
        <v>5</v>
      </c>
      <c r="B11" s="73">
        <f>37.65+4465.03</f>
        <v>4502.6799999999994</v>
      </c>
      <c r="C11" s="73">
        <f>RETA!E11</f>
        <v>4502.6799999999994</v>
      </c>
      <c r="D11" s="73">
        <f t="shared" si="1"/>
        <v>0</v>
      </c>
      <c r="E11" s="73"/>
      <c r="F11" s="73">
        <v>6996.28</v>
      </c>
      <c r="G11" s="73">
        <v>7203.5999999999995</v>
      </c>
      <c r="H11" s="73">
        <f t="shared" si="2"/>
        <v>-207.31999999999971</v>
      </c>
      <c r="I11" s="76" t="s">
        <v>113</v>
      </c>
    </row>
    <row r="12" spans="1:9" x14ac:dyDescent="0.25">
      <c r="A12" s="68" t="s">
        <v>102</v>
      </c>
      <c r="B12" s="73">
        <v>8369.0499999999993</v>
      </c>
      <c r="C12" s="73"/>
      <c r="D12" s="73">
        <f t="shared" si="1"/>
        <v>8369.0499999999993</v>
      </c>
      <c r="E12" s="73"/>
      <c r="F12" s="73">
        <v>12879.74</v>
      </c>
      <c r="G12" s="73"/>
      <c r="H12" s="73">
        <f t="shared" si="2"/>
        <v>12879.74</v>
      </c>
      <c r="I12" s="76" t="s">
        <v>112</v>
      </c>
    </row>
    <row r="13" spans="1:9" x14ac:dyDescent="0.25">
      <c r="A13" s="68" t="s">
        <v>103</v>
      </c>
      <c r="B13" s="73">
        <f>590.61-506404.78</f>
        <v>-505814.17000000004</v>
      </c>
      <c r="C13" s="73">
        <f>RETA!E84+RETA!E12</f>
        <v>-505814.17000000004</v>
      </c>
      <c r="D13" s="73">
        <f t="shared" si="1"/>
        <v>0</v>
      </c>
      <c r="E13" s="73"/>
      <c r="F13" s="73">
        <f>-2081196.03</f>
        <v>-2081196.03</v>
      </c>
      <c r="G13" s="73">
        <v>-2081403.35</v>
      </c>
      <c r="H13" s="73">
        <f t="shared" si="2"/>
        <v>207.32000000006519</v>
      </c>
      <c r="I13" s="76" t="s">
        <v>113</v>
      </c>
    </row>
    <row r="14" spans="1:9" x14ac:dyDescent="0.25">
      <c r="A14" s="68" t="s">
        <v>104</v>
      </c>
      <c r="B14" s="73">
        <f>-360829960.4-B17-B20</f>
        <v>-358586024.21999997</v>
      </c>
      <c r="C14" s="73">
        <f>RETA!E13+RETA!E83+RETA!E75-RETA!E69</f>
        <v>-358594393.26999998</v>
      </c>
      <c r="D14" s="73">
        <f t="shared" si="1"/>
        <v>8369.0500000119209</v>
      </c>
      <c r="E14" s="73"/>
      <c r="F14" s="73">
        <f>-328415793.01-F17-F20</f>
        <v>-325007010.48000002</v>
      </c>
      <c r="G14" s="73">
        <v>-325019842.79000002</v>
      </c>
      <c r="H14" s="73">
        <f t="shared" si="2"/>
        <v>12832.310000002384</v>
      </c>
      <c r="I14" s="76" t="s">
        <v>112</v>
      </c>
    </row>
    <row r="15" spans="1:9" x14ac:dyDescent="0.25">
      <c r="A15" s="68" t="s">
        <v>105</v>
      </c>
      <c r="B15" s="73">
        <v>-8369.0499999999993</v>
      </c>
      <c r="C15" s="73"/>
      <c r="D15" s="73">
        <f t="shared" si="1"/>
        <v>-8369.0499999999993</v>
      </c>
      <c r="E15" s="73"/>
      <c r="F15" s="73">
        <v>-12879.74</v>
      </c>
      <c r="G15" s="73"/>
      <c r="H15" s="73">
        <f t="shared" si="2"/>
        <v>-12879.74</v>
      </c>
      <c r="I15" s="76" t="s">
        <v>112</v>
      </c>
    </row>
    <row r="16" spans="1:9" x14ac:dyDescent="0.25">
      <c r="A16" s="68" t="s">
        <v>106</v>
      </c>
      <c r="B16" s="73"/>
      <c r="C16" s="73"/>
      <c r="D16" s="73">
        <f t="shared" si="1"/>
        <v>0</v>
      </c>
      <c r="E16" s="73"/>
      <c r="F16" s="73"/>
      <c r="G16" s="73"/>
      <c r="H16" s="73">
        <f t="shared" si="2"/>
        <v>0</v>
      </c>
      <c r="I16" s="76"/>
    </row>
    <row r="17" spans="1:9" x14ac:dyDescent="0.25">
      <c r="A17" s="68" t="s">
        <v>107</v>
      </c>
      <c r="B17" s="73">
        <v>-2221502.1800000002</v>
      </c>
      <c r="C17" s="73">
        <f>RETA!E69</f>
        <v>-2221502.1800000002</v>
      </c>
      <c r="D17" s="73">
        <f t="shared" si="1"/>
        <v>0</v>
      </c>
      <c r="E17" s="73"/>
      <c r="F17" s="73">
        <v>-3364867.02</v>
      </c>
      <c r="G17" s="73">
        <v>-3364867.02</v>
      </c>
      <c r="H17" s="73">
        <f t="shared" si="2"/>
        <v>0</v>
      </c>
      <c r="I17" s="76"/>
    </row>
    <row r="18" spans="1:9" x14ac:dyDescent="0.25">
      <c r="A18" s="68" t="s">
        <v>50</v>
      </c>
      <c r="B18" s="73">
        <v>-1264285.02</v>
      </c>
      <c r="C18" s="73">
        <f>RETA!E70-RETA!E72+RETA!E81</f>
        <v>-1264285.02</v>
      </c>
      <c r="D18" s="73">
        <f t="shared" si="1"/>
        <v>0</v>
      </c>
      <c r="E18" s="73"/>
      <c r="F18" s="73">
        <f>-419274.47-14100</f>
        <v>-433374.47</v>
      </c>
      <c r="G18" s="73">
        <v>-433374.47</v>
      </c>
      <c r="H18" s="73">
        <f t="shared" si="2"/>
        <v>0</v>
      </c>
      <c r="I18" s="76"/>
    </row>
    <row r="19" spans="1:9" x14ac:dyDescent="0.25">
      <c r="A19" s="68" t="s">
        <v>108</v>
      </c>
      <c r="B19" s="73"/>
      <c r="C19" s="73"/>
      <c r="D19" s="73">
        <f t="shared" si="1"/>
        <v>0</v>
      </c>
      <c r="E19" s="73"/>
      <c r="F19" s="73"/>
      <c r="G19" s="73"/>
      <c r="H19" s="73">
        <f t="shared" si="2"/>
        <v>0</v>
      </c>
      <c r="I19" s="76"/>
    </row>
    <row r="20" spans="1:9" x14ac:dyDescent="0.25">
      <c r="A20" s="68" t="s">
        <v>109</v>
      </c>
      <c r="B20" s="73">
        <v>-22434</v>
      </c>
      <c r="C20" s="73">
        <f>RETA!E72</f>
        <v>-22434</v>
      </c>
      <c r="D20" s="73">
        <f t="shared" si="1"/>
        <v>0</v>
      </c>
      <c r="E20" s="73"/>
      <c r="F20" s="73">
        <v>-43915.51</v>
      </c>
      <c r="G20" s="73">
        <v>-43915.51</v>
      </c>
      <c r="H20" s="73">
        <f t="shared" si="2"/>
        <v>0</v>
      </c>
      <c r="I20" s="7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RETA</vt:lpstr>
      <vt:lpstr>lisa1 Lõpliku ea kujunemine</vt:lpstr>
      <vt:lpstr>lisa2 RE ja TA võrdlus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Mägi</dc:creator>
  <cp:lastModifiedBy>Piret Mägi</cp:lastModifiedBy>
  <dcterms:created xsi:type="dcterms:W3CDTF">2024-04-10T08:53:34Z</dcterms:created>
  <dcterms:modified xsi:type="dcterms:W3CDTF">2024-06-12T09:11:53Z</dcterms:modified>
</cp:coreProperties>
</file>